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/>
  <mc:AlternateContent xmlns:mc="http://schemas.openxmlformats.org/markup-compatibility/2006">
    <mc:Choice Requires="x15">
      <x15ac:absPath xmlns:x15ac="http://schemas.microsoft.com/office/spreadsheetml/2010/11/ac" url="/Users/tomwetherby/Documents/Lacrosse/Stats and Rosters/"/>
    </mc:Choice>
  </mc:AlternateContent>
  <xr:revisionPtr revIDLastSave="0" documentId="8_{C79D75ED-E16E-3B40-BE49-3C7B6EBC85F1}" xr6:coauthVersionLast="36" xr6:coauthVersionMax="36" xr10:uidLastSave="{00000000-0000-0000-0000-000000000000}"/>
  <bookViews>
    <workbookView xWindow="0" yWindow="560" windowWidth="28800" windowHeight="16240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6" i="1" l="1"/>
  <c r="O41" i="1" l="1"/>
  <c r="N41" i="1"/>
  <c r="M41" i="1"/>
  <c r="I41" i="1"/>
  <c r="G41" i="1"/>
  <c r="F41" i="1"/>
  <c r="E41" i="1"/>
  <c r="O40" i="1"/>
  <c r="N40" i="1"/>
  <c r="M40" i="1"/>
  <c r="I40" i="1"/>
  <c r="G40" i="1"/>
  <c r="F40" i="1"/>
  <c r="E40" i="1"/>
  <c r="O39" i="1"/>
  <c r="N39" i="1"/>
  <c r="M39" i="1"/>
  <c r="I39" i="1"/>
  <c r="G39" i="1"/>
  <c r="F39" i="1"/>
  <c r="E39" i="1"/>
  <c r="O30" i="1"/>
  <c r="N30" i="1"/>
  <c r="M30" i="1"/>
  <c r="I30" i="1"/>
  <c r="G30" i="1"/>
  <c r="F30" i="1"/>
  <c r="E30" i="1"/>
  <c r="O29" i="1"/>
  <c r="N29" i="1"/>
  <c r="M29" i="1"/>
  <c r="I29" i="1"/>
  <c r="G29" i="1"/>
  <c r="F29" i="1"/>
  <c r="E29" i="1"/>
  <c r="O28" i="1"/>
  <c r="N28" i="1"/>
  <c r="M28" i="1"/>
  <c r="I28" i="1"/>
  <c r="G28" i="1"/>
  <c r="F28" i="1"/>
  <c r="E28" i="1"/>
  <c r="O27" i="1"/>
  <c r="N27" i="1"/>
  <c r="M27" i="1"/>
  <c r="I27" i="1"/>
  <c r="G27" i="1"/>
  <c r="F27" i="1"/>
  <c r="E27" i="1"/>
  <c r="O26" i="1"/>
  <c r="N26" i="1"/>
  <c r="M26" i="1"/>
  <c r="I26" i="1"/>
  <c r="G26" i="1"/>
  <c r="F26" i="1"/>
  <c r="E26" i="1"/>
  <c r="O25" i="1"/>
  <c r="N25" i="1"/>
  <c r="M25" i="1"/>
  <c r="I25" i="1"/>
  <c r="G25" i="1"/>
  <c r="F25" i="1"/>
  <c r="E25" i="1"/>
  <c r="O24" i="1"/>
  <c r="N24" i="1"/>
  <c r="M24" i="1"/>
  <c r="I24" i="1"/>
  <c r="G24" i="1"/>
  <c r="F24" i="1"/>
  <c r="E24" i="1"/>
  <c r="O23" i="1"/>
  <c r="N23" i="1"/>
  <c r="M23" i="1"/>
  <c r="I23" i="1"/>
  <c r="G23" i="1"/>
  <c r="F23" i="1"/>
  <c r="E23" i="1"/>
  <c r="O22" i="1"/>
  <c r="N22" i="1"/>
  <c r="M22" i="1"/>
  <c r="I22" i="1"/>
  <c r="G22" i="1"/>
  <c r="F22" i="1"/>
  <c r="E22" i="1"/>
  <c r="O21" i="1"/>
  <c r="N21" i="1"/>
  <c r="M21" i="1"/>
  <c r="I21" i="1"/>
  <c r="G21" i="1"/>
  <c r="F21" i="1"/>
  <c r="E21" i="1"/>
  <c r="O20" i="1"/>
  <c r="N20" i="1"/>
  <c r="M20" i="1"/>
  <c r="K20" i="1"/>
  <c r="J20" i="1"/>
  <c r="I20" i="1"/>
  <c r="G20" i="1"/>
  <c r="F20" i="1"/>
  <c r="E20" i="1"/>
  <c r="O19" i="1"/>
  <c r="N19" i="1"/>
  <c r="M19" i="1"/>
  <c r="I19" i="1"/>
  <c r="G19" i="1"/>
  <c r="F19" i="1"/>
  <c r="E19" i="1"/>
  <c r="O18" i="1"/>
  <c r="N18" i="1"/>
  <c r="M18" i="1"/>
  <c r="I18" i="1"/>
  <c r="G18" i="1"/>
  <c r="F18" i="1"/>
  <c r="E18" i="1"/>
  <c r="O17" i="1"/>
  <c r="N17" i="1"/>
  <c r="M17" i="1"/>
  <c r="I17" i="1"/>
  <c r="G17" i="1"/>
  <c r="F17" i="1"/>
  <c r="E17" i="1"/>
  <c r="O16" i="1"/>
  <c r="N16" i="1"/>
  <c r="M16" i="1"/>
  <c r="J16" i="1"/>
  <c r="I16" i="1"/>
  <c r="G16" i="1"/>
  <c r="F16" i="1"/>
  <c r="E16" i="1"/>
  <c r="O15" i="1"/>
  <c r="N15" i="1"/>
  <c r="M15" i="1"/>
  <c r="I15" i="1"/>
  <c r="G15" i="1"/>
  <c r="F15" i="1"/>
  <c r="E15" i="1"/>
  <c r="O14" i="1"/>
  <c r="N14" i="1"/>
  <c r="M14" i="1"/>
  <c r="I14" i="1"/>
  <c r="G14" i="1"/>
  <c r="F14" i="1"/>
  <c r="E14" i="1"/>
  <c r="O13" i="1"/>
  <c r="N13" i="1"/>
  <c r="M13" i="1"/>
  <c r="I13" i="1"/>
  <c r="G13" i="1"/>
  <c r="F13" i="1"/>
  <c r="E13" i="1"/>
  <c r="O12" i="1"/>
  <c r="N12" i="1"/>
  <c r="M12" i="1"/>
  <c r="I12" i="1"/>
  <c r="G12" i="1"/>
  <c r="F12" i="1"/>
  <c r="E12" i="1"/>
  <c r="O11" i="1"/>
  <c r="N11" i="1"/>
  <c r="M11" i="1"/>
  <c r="I11" i="1"/>
  <c r="G11" i="1"/>
  <c r="F11" i="1"/>
  <c r="E11" i="1"/>
  <c r="O10" i="1"/>
  <c r="N10" i="1"/>
  <c r="M10" i="1"/>
  <c r="I10" i="1"/>
  <c r="G10" i="1"/>
  <c r="F10" i="1"/>
  <c r="E10" i="1"/>
  <c r="O9" i="1"/>
  <c r="N9" i="1"/>
  <c r="M9" i="1"/>
  <c r="I9" i="1"/>
  <c r="G9" i="1"/>
  <c r="F9" i="1"/>
  <c r="E9" i="1"/>
  <c r="O8" i="1"/>
  <c r="N8" i="1"/>
  <c r="M8" i="1"/>
  <c r="I8" i="1"/>
  <c r="G8" i="1"/>
  <c r="F8" i="1"/>
  <c r="E8" i="1"/>
  <c r="O7" i="1"/>
  <c r="N7" i="1"/>
  <c r="M7" i="1"/>
  <c r="I7" i="1"/>
  <c r="G7" i="1"/>
  <c r="F7" i="1"/>
  <c r="E7" i="1"/>
  <c r="O6" i="1"/>
  <c r="N6" i="1"/>
  <c r="M6" i="1"/>
  <c r="I6" i="1"/>
  <c r="G6" i="1"/>
  <c r="F6" i="1"/>
  <c r="E6" i="1"/>
  <c r="O5" i="1"/>
  <c r="N5" i="1"/>
  <c r="M5" i="1"/>
  <c r="I5" i="1"/>
  <c r="G5" i="1"/>
  <c r="F5" i="1"/>
  <c r="E5" i="1"/>
  <c r="O4" i="1"/>
  <c r="N4" i="1"/>
  <c r="M4" i="1"/>
  <c r="I4" i="1"/>
  <c r="G4" i="1"/>
  <c r="F4" i="1"/>
  <c r="E4" i="1"/>
  <c r="O3" i="1"/>
  <c r="N3" i="1"/>
  <c r="M3" i="1"/>
  <c r="I3" i="1"/>
  <c r="G3" i="1"/>
  <c r="F3" i="1"/>
  <c r="E3" i="1"/>
  <c r="F54" i="1"/>
  <c r="E54" i="1"/>
  <c r="F53" i="1"/>
  <c r="E53" i="1"/>
  <c r="M53" i="1"/>
  <c r="L53" i="1"/>
  <c r="F66" i="1"/>
  <c r="E66" i="1"/>
  <c r="F63" i="1"/>
  <c r="E63" i="1"/>
  <c r="F60" i="1"/>
  <c r="E60" i="1"/>
  <c r="F57" i="1"/>
  <c r="E57" i="1"/>
  <c r="L62" i="1"/>
  <c r="K64" i="1"/>
  <c r="K66" i="1"/>
  <c r="F70" i="1"/>
  <c r="D70" i="1"/>
  <c r="H18" i="1"/>
  <c r="O32" i="1"/>
  <c r="N32" i="1"/>
  <c r="M32" i="1"/>
  <c r="L32" i="1"/>
  <c r="I32" i="1"/>
  <c r="P32" i="1" s="1"/>
  <c r="G32" i="1"/>
  <c r="H32" i="1"/>
  <c r="Q32" i="1" s="1"/>
  <c r="F32" i="1"/>
  <c r="E32" i="1"/>
  <c r="H23" i="1" l="1"/>
  <c r="K21" i="1" l="1"/>
  <c r="L21" i="1" s="1"/>
  <c r="J21" i="1"/>
  <c r="H21" i="1"/>
  <c r="Q21" i="1" s="1"/>
  <c r="H11" i="1"/>
  <c r="P21" i="1" l="1"/>
  <c r="H7" i="1"/>
  <c r="F52" i="1" l="1"/>
  <c r="E52" i="1"/>
  <c r="H16" i="1" l="1"/>
  <c r="N44" i="1" l="1"/>
  <c r="M44" i="1"/>
  <c r="H124" i="1" l="1"/>
  <c r="O44" i="1" l="1"/>
  <c r="O31" i="1" l="1"/>
  <c r="N31" i="1"/>
  <c r="M31" i="1"/>
  <c r="I31" i="1"/>
  <c r="G31" i="1"/>
  <c r="F31" i="1"/>
  <c r="E31" i="1"/>
  <c r="P7" i="1" l="1"/>
  <c r="H3" i="1" l="1"/>
  <c r="P3" i="1" s="1"/>
  <c r="H39" i="1" l="1"/>
  <c r="P39" i="1" l="1"/>
  <c r="G54" i="1"/>
  <c r="H54" i="1"/>
  <c r="H41" i="1"/>
  <c r="Q41" i="1" l="1"/>
  <c r="P41" i="1"/>
  <c r="H27" i="1"/>
  <c r="P27" i="1" s="1"/>
  <c r="H19" i="1"/>
  <c r="P19" i="1" s="1"/>
  <c r="L20" i="1"/>
  <c r="H31" i="1"/>
  <c r="G53" i="1"/>
  <c r="H110" i="1"/>
  <c r="G52" i="1"/>
  <c r="L16" i="1"/>
  <c r="H52" i="1"/>
  <c r="H30" i="1"/>
  <c r="H79" i="1"/>
  <c r="H165" i="1"/>
  <c r="H164" i="1"/>
  <c r="H160" i="1"/>
  <c r="H159" i="1"/>
  <c r="H29" i="1"/>
  <c r="H28" i="1"/>
  <c r="D71" i="1"/>
  <c r="H155" i="1"/>
  <c r="H154" i="1"/>
  <c r="P23" i="1"/>
  <c r="H150" i="1"/>
  <c r="H149" i="1"/>
  <c r="H145" i="1"/>
  <c r="H144" i="1"/>
  <c r="H140" i="1"/>
  <c r="H139" i="1"/>
  <c r="H135" i="1"/>
  <c r="H134" i="1"/>
  <c r="H130" i="1"/>
  <c r="H129" i="1"/>
  <c r="H120" i="1"/>
  <c r="H119" i="1"/>
  <c r="H115" i="1"/>
  <c r="H114" i="1"/>
  <c r="H109" i="1"/>
  <c r="H105" i="1"/>
  <c r="H104" i="1"/>
  <c r="H125" i="1"/>
  <c r="H100" i="1"/>
  <c r="H99" i="1"/>
  <c r="H95" i="1"/>
  <c r="H94" i="1"/>
  <c r="H90" i="1"/>
  <c r="H89" i="1"/>
  <c r="E49" i="1"/>
  <c r="H85" i="1"/>
  <c r="H84" i="1"/>
  <c r="H80" i="1"/>
  <c r="J49" i="1"/>
  <c r="K49" i="1"/>
  <c r="N49" i="1"/>
  <c r="G66" i="1"/>
  <c r="G63" i="1"/>
  <c r="G60" i="1"/>
  <c r="G57" i="1"/>
  <c r="O49" i="1"/>
  <c r="H13" i="1"/>
  <c r="H14" i="1"/>
  <c r="P14" i="1" s="1"/>
  <c r="H15" i="1"/>
  <c r="H9" i="1"/>
  <c r="H4" i="1"/>
  <c r="P4" i="1" s="1"/>
  <c r="H5" i="1"/>
  <c r="P5" i="1" s="1"/>
  <c r="H6" i="1"/>
  <c r="P6" i="1" s="1"/>
  <c r="H40" i="1"/>
  <c r="F49" i="1"/>
  <c r="G49" i="1"/>
  <c r="H10" i="1"/>
  <c r="M49" i="1"/>
  <c r="P11" i="1"/>
  <c r="H20" i="1"/>
  <c r="P20" i="1" s="1"/>
  <c r="F71" i="1"/>
  <c r="H8" i="1"/>
  <c r="P8" i="1" s="1"/>
  <c r="H12" i="1"/>
  <c r="P12" i="1" s="1"/>
  <c r="H17" i="1"/>
  <c r="P17" i="1" s="1"/>
  <c r="H22" i="1"/>
  <c r="P22" i="1" s="1"/>
  <c r="H24" i="1"/>
  <c r="H25" i="1"/>
  <c r="P25" i="1" s="1"/>
  <c r="H26" i="1"/>
  <c r="P26" i="1" s="1"/>
  <c r="Q39" i="1"/>
  <c r="I49" i="1"/>
  <c r="Q16" i="1" l="1"/>
  <c r="P16" i="1"/>
  <c r="Q15" i="1"/>
  <c r="P15" i="1"/>
  <c r="Q13" i="1"/>
  <c r="P13" i="1"/>
  <c r="Q29" i="1"/>
  <c r="P29" i="1"/>
  <c r="Q10" i="1"/>
  <c r="P10" i="1"/>
  <c r="Q31" i="1"/>
  <c r="P31" i="1"/>
  <c r="Q40" i="1"/>
  <c r="P40" i="1"/>
  <c r="Q28" i="1"/>
  <c r="P28" i="1"/>
  <c r="Q24" i="1"/>
  <c r="P24" i="1"/>
  <c r="Q18" i="1"/>
  <c r="P18" i="1"/>
  <c r="Q30" i="1"/>
  <c r="P30" i="1"/>
  <c r="Q9" i="1"/>
  <c r="P9" i="1"/>
  <c r="Q27" i="1"/>
  <c r="Q19" i="1"/>
  <c r="L49" i="1"/>
  <c r="Q11" i="1"/>
  <c r="Q22" i="1"/>
  <c r="Q12" i="1"/>
  <c r="Q4" i="1"/>
  <c r="Q20" i="1"/>
  <c r="Q6" i="1"/>
  <c r="Q26" i="1"/>
  <c r="Q14" i="1"/>
  <c r="Q8" i="1"/>
  <c r="Q23" i="1"/>
  <c r="Q5" i="1"/>
  <c r="Q7" i="1"/>
  <c r="Q17" i="1"/>
  <c r="H53" i="1"/>
  <c r="Q25" i="1"/>
  <c r="Q3" i="1"/>
</calcChain>
</file>

<file path=xl/sharedStrings.xml><?xml version="1.0" encoding="utf-8"?>
<sst xmlns="http://schemas.openxmlformats.org/spreadsheetml/2006/main" count="233" uniqueCount="113">
  <si>
    <t>Name</t>
  </si>
  <si>
    <t>GP</t>
  </si>
  <si>
    <t>Goals</t>
  </si>
  <si>
    <t>Assists</t>
  </si>
  <si>
    <t>Points</t>
  </si>
  <si>
    <t>Shots</t>
  </si>
  <si>
    <t>Ground balls</t>
  </si>
  <si>
    <t>FOW</t>
  </si>
  <si>
    <t>Penalties</t>
  </si>
  <si>
    <t>Minutes</t>
  </si>
  <si>
    <t>Games Started</t>
  </si>
  <si>
    <t>Saves</t>
  </si>
  <si>
    <t xml:space="preserve">Team: </t>
  </si>
  <si>
    <t>Goals For</t>
  </si>
  <si>
    <t>Goals Against</t>
  </si>
  <si>
    <t>Total:</t>
  </si>
  <si>
    <t>Per Game:</t>
  </si>
  <si>
    <t>Record:</t>
  </si>
  <si>
    <t>Ties: 0</t>
  </si>
  <si>
    <t>Clears:</t>
  </si>
  <si>
    <t>Successful</t>
  </si>
  <si>
    <t>Unsuccessful</t>
  </si>
  <si>
    <t>Extra Man Opps:</t>
  </si>
  <si>
    <t>Scored</t>
  </si>
  <si>
    <t>Failed</t>
  </si>
  <si>
    <t>Opponents Extra Man Opps:</t>
  </si>
  <si>
    <t>FO Attempts</t>
  </si>
  <si>
    <t>Opponent Clears:</t>
  </si>
  <si>
    <t>FOW %</t>
  </si>
  <si>
    <t>Games</t>
  </si>
  <si>
    <t>Totals:</t>
  </si>
  <si>
    <t>Opponents penalties:</t>
  </si>
  <si>
    <t>Turnovers</t>
  </si>
  <si>
    <t>Jersey #</t>
  </si>
  <si>
    <t>Pos</t>
  </si>
  <si>
    <t>A</t>
  </si>
  <si>
    <t>M</t>
  </si>
  <si>
    <t>D</t>
  </si>
  <si>
    <t>G</t>
  </si>
  <si>
    <t>%</t>
  </si>
  <si>
    <t>Time of possesion:</t>
  </si>
  <si>
    <t>Opponent's T.O.P.:</t>
  </si>
  <si>
    <t>#</t>
  </si>
  <si>
    <t>Time</t>
  </si>
  <si>
    <t>Games:</t>
  </si>
  <si>
    <t>Athens Drive</t>
  </si>
  <si>
    <t>1st</t>
  </si>
  <si>
    <t>2nd</t>
  </si>
  <si>
    <t>3rd</t>
  </si>
  <si>
    <t>4th</t>
  </si>
  <si>
    <t>Total</t>
  </si>
  <si>
    <t>T.O.P.</t>
  </si>
  <si>
    <t>AD</t>
  </si>
  <si>
    <t>TEAM</t>
  </si>
  <si>
    <t>Opponents turnovers:</t>
  </si>
  <si>
    <t>Shots on Goal:</t>
  </si>
  <si>
    <t>Opponents shots on goal:</t>
  </si>
  <si>
    <t>Chris Alcorn</t>
  </si>
  <si>
    <t>Alex Waller</t>
  </si>
  <si>
    <t>Sutton Patterson</t>
  </si>
  <si>
    <t>Bradley Gelsinger</t>
  </si>
  <si>
    <t>Saves per game played</t>
  </si>
  <si>
    <t>Jesus Galindo</t>
  </si>
  <si>
    <t>Productivity ratio</t>
  </si>
  <si>
    <t>Per Game Contribution</t>
  </si>
  <si>
    <t>Reid Koonce</t>
  </si>
  <si>
    <t>Josh Cooper</t>
  </si>
  <si>
    <t>Thomas Adams-Dukes</t>
  </si>
  <si>
    <t>Ben Wakeford</t>
  </si>
  <si>
    <t>Robbie Gelsinger</t>
  </si>
  <si>
    <t>Jackson Goodwin</t>
  </si>
  <si>
    <t>Jack Gelsinger</t>
  </si>
  <si>
    <t>Dillon Rigg</t>
  </si>
  <si>
    <t>Aaron Morgan</t>
  </si>
  <si>
    <t>Daniel Kuhner</t>
  </si>
  <si>
    <t>Shots on goal</t>
  </si>
  <si>
    <t>Save %</t>
  </si>
  <si>
    <t>Panther Creek</t>
  </si>
  <si>
    <t>Cary</t>
  </si>
  <si>
    <t>Nick Waller</t>
  </si>
  <si>
    <t>Elijah Henderson</t>
  </si>
  <si>
    <t>Orange High</t>
  </si>
  <si>
    <t>Sanderson</t>
  </si>
  <si>
    <t>Pinecrest</t>
  </si>
  <si>
    <t>Riverside</t>
  </si>
  <si>
    <t>Aaron Boyce-Cooley</t>
  </si>
  <si>
    <t>Zack Tucker</t>
  </si>
  <si>
    <t>Cameron Grisel</t>
  </si>
  <si>
    <t>James Clary</t>
  </si>
  <si>
    <t>Martin Altman</t>
  </si>
  <si>
    <t>Philip Eldridge</t>
  </si>
  <si>
    <t>Ryan Jacobs</t>
  </si>
  <si>
    <t>Carter Toran</t>
  </si>
  <si>
    <t>William Burke</t>
  </si>
  <si>
    <t>D/LSM</t>
  </si>
  <si>
    <t>Jared Gursslin</t>
  </si>
  <si>
    <t>Henry Moore</t>
  </si>
  <si>
    <t>Parker Lake</t>
  </si>
  <si>
    <t>Gerardo Vasquez</t>
  </si>
  <si>
    <t>AJ Harris</t>
  </si>
  <si>
    <t>Home</t>
  </si>
  <si>
    <t>Away</t>
  </si>
  <si>
    <t>Team</t>
  </si>
  <si>
    <t>Jordan</t>
  </si>
  <si>
    <t>Green Hope</t>
  </si>
  <si>
    <t>Wake Forest</t>
  </si>
  <si>
    <t>Wins: 12</t>
  </si>
  <si>
    <t>Apex</t>
  </si>
  <si>
    <t>East Chapel Hill</t>
  </si>
  <si>
    <t>Tabion Oglesby</t>
  </si>
  <si>
    <t>Chris Silver</t>
  </si>
  <si>
    <t>Losses: 6</t>
  </si>
  <si>
    <t>Middle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</si>
</sst>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0" borderId="2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46" fontId="0" fillId="0" borderId="0" xfId="0" applyNumberFormat="1"/>
    <xf numFmtId="0" fontId="0" fillId="0" borderId="1" xfId="0" applyBorder="1" applyAlignment="1">
      <alignment horizontal="center"/>
    </xf>
    <xf numFmtId="0" fontId="5" fillId="0" borderId="0" xfId="0" applyNumberFormat="1" applyFont="1" applyFill="1" applyAlignment="1"/>
    <xf numFmtId="0" fontId="2" fillId="0" borderId="1" xfId="0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/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20" fontId="0" fillId="0" borderId="2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0" xfId="0" applyFont="1" applyBorder="1"/>
    <xf numFmtId="0" fontId="6" fillId="0" borderId="1" xfId="0" applyFont="1" applyBorder="1" applyAlignment="1">
      <alignment vertical="center"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20" fontId="0" fillId="0" borderId="0" xfId="0" applyNumberFormat="1"/>
    <xf numFmtId="2" fontId="0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 applyFill="1"/>
    <xf numFmtId="2" fontId="0" fillId="0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7"/>
  <sheetViews>
    <sheetView tabSelected="1" workbookViewId="0">
      <selection activeCell="P1" sqref="P1:Q1048576"/>
    </sheetView>
  </sheetViews>
  <sheetFormatPr baseColWidth="10" defaultColWidth="8.83203125" defaultRowHeight="15" x14ac:dyDescent="0.2"/>
  <cols>
    <col min="1" max="1" width="9.6640625" style="11" bestFit="1" customWidth="1"/>
    <col min="2" max="2" width="5.83203125" style="11" customWidth="1"/>
    <col min="3" max="3" width="20.5" customWidth="1"/>
    <col min="4" max="5" width="11.5" customWidth="1"/>
    <col min="6" max="6" width="10.5" customWidth="1"/>
    <col min="8" max="8" width="10.6640625" bestFit="1" customWidth="1"/>
    <col min="9" max="9" width="10.83203125" customWidth="1"/>
    <col min="10" max="10" width="10.5" customWidth="1"/>
    <col min="15" max="15" width="8.83203125" style="11"/>
    <col min="16" max="16" width="11.5" style="11" hidden="1" customWidth="1"/>
    <col min="17" max="17" width="13.6640625" style="11" hidden="1" customWidth="1"/>
  </cols>
  <sheetData>
    <row r="2" spans="1:20" ht="27" x14ac:dyDescent="0.2">
      <c r="A2" s="16" t="s">
        <v>33</v>
      </c>
      <c r="B2" s="16" t="s">
        <v>34</v>
      </c>
      <c r="C2" s="1" t="s">
        <v>0</v>
      </c>
      <c r="D2" s="1" t="s">
        <v>1</v>
      </c>
      <c r="E2" s="1" t="s">
        <v>5</v>
      </c>
      <c r="F2" s="1" t="s">
        <v>2</v>
      </c>
      <c r="G2" s="1" t="s">
        <v>3</v>
      </c>
      <c r="H2" s="1" t="s">
        <v>4</v>
      </c>
      <c r="I2" s="1" t="s">
        <v>6</v>
      </c>
      <c r="J2" s="1" t="s">
        <v>26</v>
      </c>
      <c r="K2" s="1" t="s">
        <v>7</v>
      </c>
      <c r="L2" s="1" t="s">
        <v>28</v>
      </c>
      <c r="M2" s="1" t="s">
        <v>8</v>
      </c>
      <c r="N2" s="1" t="s">
        <v>9</v>
      </c>
      <c r="O2" s="1" t="s">
        <v>32</v>
      </c>
      <c r="P2" s="35" t="s">
        <v>63</v>
      </c>
      <c r="Q2" s="35" t="s">
        <v>64</v>
      </c>
    </row>
    <row r="3" spans="1:20" x14ac:dyDescent="0.2">
      <c r="A3" s="11">
        <v>2</v>
      </c>
      <c r="B3" s="11" t="s">
        <v>35</v>
      </c>
      <c r="C3" t="s">
        <v>87</v>
      </c>
      <c r="D3" s="11">
        <v>17</v>
      </c>
      <c r="E3" s="11">
        <f>1+2+2+3+0+0+0+1+0+0+4+1+5+0+0+0+1+1</f>
        <v>21</v>
      </c>
      <c r="F3" s="11">
        <f>1+0+0+0+0+0+0+0+0+0+3+0+1+0+0+0+0+0</f>
        <v>5</v>
      </c>
      <c r="G3" s="11">
        <f>0+0+0+0+0+0+0+0+0+1+0+0+0+0+0+0+0+0</f>
        <v>1</v>
      </c>
      <c r="H3" s="11">
        <f>F3+G3</f>
        <v>6</v>
      </c>
      <c r="I3" s="11">
        <f>2+1+1+1+1+0+0+0+1+6+3+1+1+1+0+0+0+0</f>
        <v>19</v>
      </c>
      <c r="J3" s="11"/>
      <c r="K3" s="11"/>
      <c r="L3" s="11"/>
      <c r="M3" s="11">
        <f>1+0+0+1+0+0+0+1+0+0+0+0+1+0+0+0+0+0</f>
        <v>4</v>
      </c>
      <c r="N3" s="34">
        <f>1+0+0+3+0+0+0+3+0+0+0+0+1+0+0+0+0+0</f>
        <v>8</v>
      </c>
      <c r="O3" s="11">
        <f>2+1+1+0+0+0+0+0+1+3+0+3+2+1+0+0+0+1</f>
        <v>15</v>
      </c>
      <c r="P3" s="50">
        <f>(I3+H3)/(M3+O3)</f>
        <v>1.3157894736842106</v>
      </c>
      <c r="Q3" s="50">
        <f>(H3+I3-M3-O3)/D3</f>
        <v>0.35294117647058826</v>
      </c>
    </row>
    <row r="4" spans="1:20" x14ac:dyDescent="0.2">
      <c r="A4" s="11">
        <v>6</v>
      </c>
      <c r="B4" s="11" t="s">
        <v>35</v>
      </c>
      <c r="C4" t="s">
        <v>58</v>
      </c>
      <c r="D4" s="11">
        <v>17</v>
      </c>
      <c r="E4" s="11">
        <f>8+8+5+3+11+7+4+11+9+8+4+10+11+3+10+5+3+0</f>
        <v>120</v>
      </c>
      <c r="F4" s="11">
        <f>3+2+2+0+5+2+1+2+5+4+0+4+4+0+3+1+0+0</f>
        <v>38</v>
      </c>
      <c r="G4" s="11">
        <f>3+1+1+2+0+1+0+2+0+0+1+1+1+2+1+1+1+0</f>
        <v>18</v>
      </c>
      <c r="H4" s="11">
        <f t="shared" ref="H4:H32" si="0">F4+G4</f>
        <v>56</v>
      </c>
      <c r="I4" s="11">
        <f>9+3+2+2+1+6+5+3+6+5+3+3+5+0+6+0+1+0</f>
        <v>60</v>
      </c>
      <c r="J4" s="11"/>
      <c r="K4" s="11"/>
      <c r="L4" s="11"/>
      <c r="M4" s="11">
        <f>0+0+1+0+2+0+0+2+1+0+0+0+0+0+1+3+0+0</f>
        <v>10</v>
      </c>
      <c r="N4" s="34">
        <f>0+0+1+0+1.5+0+0+1.5+1+0+0+0+0+0+1+2+0+0</f>
        <v>8</v>
      </c>
      <c r="O4" s="11">
        <f>6+1+2+2+1+3+3+1+0+0+1+1+5+1+4+4+3+0</f>
        <v>38</v>
      </c>
      <c r="P4" s="50">
        <f>(I4+H4)/(M4+O4)</f>
        <v>2.4166666666666665</v>
      </c>
      <c r="Q4" s="50">
        <f t="shared" ref="Q4:Q32" si="1">(H4+I4-M4-O4)/D4</f>
        <v>4</v>
      </c>
    </row>
    <row r="5" spans="1:20" x14ac:dyDescent="0.2">
      <c r="A5" s="11">
        <v>13</v>
      </c>
      <c r="B5" s="11" t="s">
        <v>35</v>
      </c>
      <c r="C5" t="s">
        <v>65</v>
      </c>
      <c r="D5" s="11">
        <v>18</v>
      </c>
      <c r="E5" s="11">
        <f>13+12+9+9+8+7+7+11+11+10+12+8+5+8+5+8+5+7</f>
        <v>155</v>
      </c>
      <c r="F5" s="11">
        <f>5+5+6+4+5+2+2+4+3+5+4+3+5+3+0+2+2+1</f>
        <v>61</v>
      </c>
      <c r="G5" s="11">
        <f>2+0+1+1+2+0+1+2+2+1+2+1+2+0+2+1+0+0</f>
        <v>20</v>
      </c>
      <c r="H5" s="11">
        <f t="shared" si="0"/>
        <v>81</v>
      </c>
      <c r="I5" s="11">
        <f>2+6+3+4+2+4+2+3+3+7+4+4+2+3+1+1+0+3</f>
        <v>54</v>
      </c>
      <c r="J5" s="11"/>
      <c r="K5" s="11"/>
      <c r="L5" s="11"/>
      <c r="M5" s="11">
        <f>0+0+0+0+0+0+0+0+0+0+0+0+0+0+0+1+0+0</f>
        <v>1</v>
      </c>
      <c r="N5" s="34">
        <f>0+0+0+0+0+0+0+0+0+0+0+0+0+0+0+1+0+0</f>
        <v>1</v>
      </c>
      <c r="O5" s="11">
        <f>3+1+3+2+0+3+2+1+2+0+0+0+1+0+1+1+0+2</f>
        <v>22</v>
      </c>
      <c r="P5" s="50">
        <f t="shared" ref="P5:P32" si="2">(I5+H5)/(M5+O5)</f>
        <v>5.8695652173913047</v>
      </c>
      <c r="Q5" s="50">
        <f t="shared" si="1"/>
        <v>6.2222222222222223</v>
      </c>
    </row>
    <row r="6" spans="1:20" x14ac:dyDescent="0.2">
      <c r="A6" s="11">
        <v>14</v>
      </c>
      <c r="B6" s="11" t="s">
        <v>35</v>
      </c>
      <c r="C6" t="s">
        <v>88</v>
      </c>
      <c r="D6" s="11">
        <v>11</v>
      </c>
      <c r="E6" s="11">
        <f>0+0+0+0+0+0+0+0+0+1+1+0+2+0+0+0+0+1</f>
        <v>5</v>
      </c>
      <c r="F6" s="11">
        <f>0+0+0+0+0+0+0+0+0+0+0+0+1+0+0+0+0+0</f>
        <v>1</v>
      </c>
      <c r="G6" s="11">
        <f>0+0+0+0+0+0+0+0+0+0+0+0+1+0+0+0+0+0</f>
        <v>1</v>
      </c>
      <c r="H6" s="11">
        <f t="shared" si="0"/>
        <v>2</v>
      </c>
      <c r="I6" s="11">
        <f>0+0+0+2+0+0+0+0+0+3+1+0+3+1+1+0+0+0</f>
        <v>11</v>
      </c>
      <c r="J6" s="11"/>
      <c r="K6" s="11"/>
      <c r="L6" s="11"/>
      <c r="M6" s="11">
        <f>0+0+0+0+0+0+0+0+0+0+0+0+0+0+0+0+0+0</f>
        <v>0</v>
      </c>
      <c r="N6" s="34">
        <f>0+0+0+0+0+0+0+0+0+0+0+0+0+0+0+0+0+0</f>
        <v>0</v>
      </c>
      <c r="O6" s="11">
        <f>0+0+1+0+0+0+0+0+0+4+1+0+0+0+0+0+0+1</f>
        <v>7</v>
      </c>
      <c r="P6" s="50">
        <f t="shared" si="2"/>
        <v>1.8571428571428572</v>
      </c>
      <c r="Q6" s="50">
        <f t="shared" si="1"/>
        <v>0.54545454545454541</v>
      </c>
    </row>
    <row r="7" spans="1:20" x14ac:dyDescent="0.2">
      <c r="A7" s="11">
        <v>27</v>
      </c>
      <c r="B7" s="11" t="s">
        <v>35</v>
      </c>
      <c r="C7" t="s">
        <v>89</v>
      </c>
      <c r="D7" s="11">
        <v>13</v>
      </c>
      <c r="E7" s="11">
        <f>0+0+1+0+2+0+0+0+0+3+2+0+0+0+0+0+0+0</f>
        <v>8</v>
      </c>
      <c r="F7" s="11">
        <f>0+0+0+0+0+0+0+0+0+0+1+0+0+0+0+0+0+0</f>
        <v>1</v>
      </c>
      <c r="G7" s="11">
        <f>0+0+0+0+0+0+0+0+0+2+0+0+0+0+0+0+0+0</f>
        <v>2</v>
      </c>
      <c r="H7" s="11">
        <f>F7+G7</f>
        <v>3</v>
      </c>
      <c r="I7" s="11">
        <f>0+0+0+0+1+0+0+1+0+1+1+1+0+0+0+0+0+1</f>
        <v>6</v>
      </c>
      <c r="J7" s="11"/>
      <c r="K7" s="11"/>
      <c r="L7" s="11"/>
      <c r="M7" s="11">
        <f>0+0+0+0+1+0+0+2+0+2+0+0+0+0+0+0+0+0</f>
        <v>5</v>
      </c>
      <c r="N7" s="34">
        <f>0+0+0+0+1+0+0+1.5+0+1.5+0+0+0+0+0+0+0+0</f>
        <v>4</v>
      </c>
      <c r="O7" s="11">
        <f>0+0+1+0+2+0+0+0+0+5+0+1+1+0+0+0+0+1</f>
        <v>11</v>
      </c>
      <c r="P7" s="49">
        <f t="shared" si="2"/>
        <v>0.5625</v>
      </c>
      <c r="Q7" s="49">
        <f>(H7+I7-M7-O7)/D7</f>
        <v>-0.53846153846153844</v>
      </c>
    </row>
    <row r="8" spans="1:20" x14ac:dyDescent="0.2">
      <c r="A8" s="11">
        <v>31</v>
      </c>
      <c r="B8" s="11" t="s">
        <v>35</v>
      </c>
      <c r="C8" t="s">
        <v>74</v>
      </c>
      <c r="D8" s="11">
        <v>16</v>
      </c>
      <c r="E8" s="11">
        <f>1+0+5+4+5+3+2+4+2+0+2+6+4+2+3+2+2+0</f>
        <v>47</v>
      </c>
      <c r="F8" s="11">
        <f>0+0+1+3+2+0+2+3+1+0+0+4+1+0+2+1+1+0</f>
        <v>21</v>
      </c>
      <c r="G8" s="11">
        <f>3+0+1+0+0+1+0+2+1+0+2+1+2+0+0+1+1+1</f>
        <v>16</v>
      </c>
      <c r="H8" s="11">
        <f t="shared" si="0"/>
        <v>37</v>
      </c>
      <c r="I8" s="11">
        <f>5+0+7+1+1+2+2+0+3+0+4+2+1+2+2+5+2+1</f>
        <v>40</v>
      </c>
      <c r="J8" s="11"/>
      <c r="K8" s="11"/>
      <c r="L8" s="12"/>
      <c r="M8" s="11">
        <f>0+0+1+1+0+1+0+0+1+0+0+0+0+0+0+0+1+0</f>
        <v>5</v>
      </c>
      <c r="N8" s="34">
        <f>0+0+0.5+0.5+0+0.5+0+0+1+0+0+0+0+0+0+0+0.5+0</f>
        <v>3</v>
      </c>
      <c r="O8" s="11">
        <f>2+0+1+0+3+2+0+2+2+0+2+1+0+2+0+5+4+4</f>
        <v>30</v>
      </c>
      <c r="P8" s="50">
        <f t="shared" si="2"/>
        <v>2.2000000000000002</v>
      </c>
      <c r="Q8" s="50">
        <f t="shared" si="1"/>
        <v>2.625</v>
      </c>
    </row>
    <row r="9" spans="1:20" x14ac:dyDescent="0.2">
      <c r="A9" s="11">
        <v>3</v>
      </c>
      <c r="B9" s="11" t="s">
        <v>36</v>
      </c>
      <c r="C9" t="s">
        <v>90</v>
      </c>
      <c r="D9" s="11">
        <v>7</v>
      </c>
      <c r="E9" s="11">
        <f>0+0+0+0+0+0+0+0+0+0+0+0+0+0+0+0+0+0</f>
        <v>0</v>
      </c>
      <c r="F9" s="11">
        <f>0+0+0+0+0+0+0+0+0+0+0+0+0+0+0+0+0+0</f>
        <v>0</v>
      </c>
      <c r="G9" s="11">
        <f>0+0+0+0+0+0+0+0+0+0+0+0+0+0+0+0+0+0</f>
        <v>0</v>
      </c>
      <c r="H9" s="11">
        <f t="shared" si="0"/>
        <v>0</v>
      </c>
      <c r="I9" s="11">
        <f>0+0+0+0+1+0+0+0+0+1+0+0+0+0+0+0+0+0</f>
        <v>2</v>
      </c>
      <c r="J9" s="11"/>
      <c r="K9" s="11"/>
      <c r="L9" s="30"/>
      <c r="M9" s="11">
        <f>0+0+0+0+0+0+0+1+0+0+0+0+0+0+0+0+0+0</f>
        <v>1</v>
      </c>
      <c r="N9" s="34">
        <f>0+0+0+0+0+0+0+0.5+0+0+0+0+0+0+0+0+0+0</f>
        <v>0.5</v>
      </c>
      <c r="O9" s="11">
        <f>0+0+0+0+0+0+0+1+0+1+0+0+0+0+0+0+0+0</f>
        <v>2</v>
      </c>
      <c r="P9" s="49">
        <f t="shared" si="2"/>
        <v>0.66666666666666663</v>
      </c>
      <c r="Q9" s="49">
        <f t="shared" si="1"/>
        <v>-0.14285714285714285</v>
      </c>
    </row>
    <row r="10" spans="1:20" x14ac:dyDescent="0.2">
      <c r="A10" s="11">
        <v>8</v>
      </c>
      <c r="B10" s="11" t="s">
        <v>36</v>
      </c>
      <c r="C10" t="s">
        <v>91</v>
      </c>
      <c r="D10" s="11">
        <v>18</v>
      </c>
      <c r="E10" s="11">
        <f>1+1+0+0+0+0+0+2+0+1+0+1+0+0+0+1+0+0</f>
        <v>7</v>
      </c>
      <c r="F10" s="11">
        <f>0+0+0+0+0+0+0+1+0+0+0+0+0+0+0+0+0+0</f>
        <v>1</v>
      </c>
      <c r="G10" s="11">
        <f>0+0+0+0+0+0+0+0+0+0+0+0+0+0+0+0+0+0</f>
        <v>0</v>
      </c>
      <c r="H10" s="11">
        <f t="shared" si="0"/>
        <v>1</v>
      </c>
      <c r="I10" s="11">
        <f>0+0+1+1+0+0+0+0+0+0+2+0+2+0+0+0+1+0</f>
        <v>7</v>
      </c>
      <c r="J10" s="11"/>
      <c r="K10" s="11"/>
      <c r="L10" s="30"/>
      <c r="M10" s="11">
        <f>0+0+0+0+0+0+0+0+0+0+0+0+0+0+0+0+0+0</f>
        <v>0</v>
      </c>
      <c r="N10" s="34">
        <f>0+0+0+0+0+0+0+0+0+0+0+0+0+0+0+0+0+0</f>
        <v>0</v>
      </c>
      <c r="O10" s="11">
        <f>0+1+1+0+0+0+0+0+0+0+1+1+1+0+2+1+1+0</f>
        <v>9</v>
      </c>
      <c r="P10" s="49">
        <f t="shared" si="2"/>
        <v>0.88888888888888884</v>
      </c>
      <c r="Q10" s="49">
        <f t="shared" si="1"/>
        <v>-5.5555555555555552E-2</v>
      </c>
    </row>
    <row r="11" spans="1:20" x14ac:dyDescent="0.2">
      <c r="A11" s="11">
        <v>9</v>
      </c>
      <c r="B11" s="11" t="s">
        <v>36</v>
      </c>
      <c r="C11" t="s">
        <v>79</v>
      </c>
      <c r="D11" s="11">
        <v>17</v>
      </c>
      <c r="E11" s="11">
        <f>5+1+0+0+2+1+1+1+2+2+2+0+1+0+1+0+1+0</f>
        <v>20</v>
      </c>
      <c r="F11" s="11">
        <f>1+0+0+0+0+0+0+0+1+0+2+0+1+0+0+0+0+0</f>
        <v>5</v>
      </c>
      <c r="G11" s="11">
        <f>0+0+0+0+0+0+0+1+0+1+0+0+0+0+0+0+0+0</f>
        <v>2</v>
      </c>
      <c r="H11" s="11">
        <f>F11+G11</f>
        <v>7</v>
      </c>
      <c r="I11" s="11">
        <f>2+2+0+0+0+1+1+1+0+0+1+0+1+0+0+0+0+0</f>
        <v>9</v>
      </c>
      <c r="J11" s="11"/>
      <c r="K11" s="11"/>
      <c r="L11" s="30"/>
      <c r="M11" s="11">
        <f>1+0+0+2+0+0+0+0+0+0+0+0+0+0+0+0+0+0</f>
        <v>3</v>
      </c>
      <c r="N11" s="34">
        <f>1+0+0+1.5+0+0+0+0+0+0+0+0+0+0+0+0+0+0</f>
        <v>2.5</v>
      </c>
      <c r="O11" s="11">
        <f>0+1+0+0+3+0+4+1+0+0+1+1+2+2+0+0+0+0</f>
        <v>15</v>
      </c>
      <c r="P11" s="49">
        <f t="shared" si="2"/>
        <v>0.88888888888888884</v>
      </c>
      <c r="Q11" s="49">
        <f t="shared" si="1"/>
        <v>-0.11764705882352941</v>
      </c>
    </row>
    <row r="12" spans="1:20" x14ac:dyDescent="0.2">
      <c r="A12" s="11">
        <v>11</v>
      </c>
      <c r="B12" s="11" t="s">
        <v>36</v>
      </c>
      <c r="C12" t="s">
        <v>57</v>
      </c>
      <c r="D12" s="11">
        <v>18</v>
      </c>
      <c r="E12" s="11">
        <f>0+1+3+1+1+3+1+0+5+1+4+4+1+2+2+5+0+2</f>
        <v>36</v>
      </c>
      <c r="F12" s="11">
        <f>0+0+2+0+0+0+0+0+0+1+2+0+0+1+0+2+0+0</f>
        <v>8</v>
      </c>
      <c r="G12" s="11">
        <f>0+0+1+2+0+0+0+2+3+0+1+1+3+0+1+0+0+1</f>
        <v>15</v>
      </c>
      <c r="H12" s="11">
        <f t="shared" si="0"/>
        <v>23</v>
      </c>
      <c r="I12" s="11">
        <f>7+4+7+1+3+4+2+3+2+2+3+2+5+3+1+4+4+2</f>
        <v>59</v>
      </c>
      <c r="J12" s="11"/>
      <c r="K12" s="11"/>
      <c r="L12" s="30"/>
      <c r="M12" s="11">
        <f>0+0+0+0+0+0+0+0+0+0+0+0+0+0+0+0+0+0</f>
        <v>0</v>
      </c>
      <c r="N12" s="34">
        <f>0+0+0+0+0+0+0+0+0+0+0+0+0+0+0+0+0+0</f>
        <v>0</v>
      </c>
      <c r="O12" s="11">
        <f>2+2+1+1+1+2+2+0+0+0+0+0+0+1+0+0+1+0</f>
        <v>13</v>
      </c>
      <c r="P12" s="50">
        <f t="shared" si="2"/>
        <v>6.3076923076923075</v>
      </c>
      <c r="Q12" s="50">
        <f t="shared" si="1"/>
        <v>3.8333333333333335</v>
      </c>
      <c r="T12" s="30"/>
    </row>
    <row r="13" spans="1:20" x14ac:dyDescent="0.2">
      <c r="A13" s="11">
        <v>16</v>
      </c>
      <c r="B13" s="11" t="s">
        <v>36</v>
      </c>
      <c r="C13" t="s">
        <v>68</v>
      </c>
      <c r="D13" s="11">
        <v>18</v>
      </c>
      <c r="E13" s="11">
        <f>2+2+1+1+2+0+1+2+0+1+0+4+2+0+3+1+3+0</f>
        <v>25</v>
      </c>
      <c r="F13" s="11">
        <f>1+0+1+0+0+0+1+0+0+1+0+2+1+0+0+0+0+0</f>
        <v>7</v>
      </c>
      <c r="G13" s="11">
        <f>0+0+0+0+0+0+0+0+0+0+0+0+0+0+0+0+1+0</f>
        <v>1</v>
      </c>
      <c r="H13" s="11">
        <f t="shared" si="0"/>
        <v>8</v>
      </c>
      <c r="I13" s="11">
        <f>3+0+4+0+1+0+1+0+0+0+0+1+1+0+0+1+0+3</f>
        <v>15</v>
      </c>
      <c r="J13" s="11"/>
      <c r="K13" s="11"/>
      <c r="L13" s="30"/>
      <c r="M13" s="11">
        <f>0+0+0+0+0+0+0+0+1+0+0+0+0+0+0+0+0+0</f>
        <v>1</v>
      </c>
      <c r="N13" s="34">
        <f>0+0+0+0+0+0+0+0+1+0+0+0+0+0+0+0+0+0</f>
        <v>1</v>
      </c>
      <c r="O13" s="11">
        <f>1+1+0+1+0+1+1+0+0+0+3+0+1+1+0+3+2+0</f>
        <v>15</v>
      </c>
      <c r="P13" s="50">
        <f t="shared" si="2"/>
        <v>1.4375</v>
      </c>
      <c r="Q13" s="50">
        <f t="shared" si="1"/>
        <v>0.3888888888888889</v>
      </c>
    </row>
    <row r="14" spans="1:20" x14ac:dyDescent="0.2">
      <c r="A14" s="11">
        <v>18</v>
      </c>
      <c r="B14" s="11" t="s">
        <v>36</v>
      </c>
      <c r="C14" t="s">
        <v>67</v>
      </c>
      <c r="D14" s="11">
        <v>15</v>
      </c>
      <c r="E14" s="11">
        <f>2+0+1+0+2+1+0+1+2+2+1+3+2+0+0+0+0+0</f>
        <v>17</v>
      </c>
      <c r="F14" s="11">
        <f>1+0+1+0+1+1+0+1+0+2+1+0+0+0+0+0+0+0</f>
        <v>8</v>
      </c>
      <c r="G14" s="11">
        <f>0+0+0+0+0+0+0+0+0+0+0+0+0+0+0+0+0+0</f>
        <v>0</v>
      </c>
      <c r="H14" s="11">
        <f t="shared" si="0"/>
        <v>8</v>
      </c>
      <c r="I14" s="11">
        <f>2+2+1+2+1+2+1+0+2+2+4+1+4+1+0+0+0+0</f>
        <v>25</v>
      </c>
      <c r="J14" s="11"/>
      <c r="K14" s="11"/>
      <c r="L14" s="12"/>
      <c r="M14" s="11">
        <f>0+0+0+1+0+0+0+0+3+0+0+1+0+0+0+0+0+0</f>
        <v>5</v>
      </c>
      <c r="N14" s="34">
        <f>0+0+0+3+0+0+0+0+2.5+0+0+1+0+0+0+0+0+0</f>
        <v>6.5</v>
      </c>
      <c r="O14" s="11">
        <f>1+2+0+1+2+0+0+1+2+0+1+0+3+1+0+0+0+2</f>
        <v>16</v>
      </c>
      <c r="P14" s="50">
        <f t="shared" si="2"/>
        <v>1.5714285714285714</v>
      </c>
      <c r="Q14" s="50">
        <f t="shared" si="1"/>
        <v>0.8</v>
      </c>
    </row>
    <row r="15" spans="1:20" x14ac:dyDescent="0.2">
      <c r="A15" s="11">
        <v>19</v>
      </c>
      <c r="B15" s="11" t="s">
        <v>36</v>
      </c>
      <c r="C15" t="s">
        <v>92</v>
      </c>
      <c r="D15" s="11">
        <v>18</v>
      </c>
      <c r="E15" s="11">
        <f>1+0+0+2+0+1+0+0+1+4+0+1+2+0+0+1+0+0</f>
        <v>13</v>
      </c>
      <c r="F15" s="11">
        <f>1+0+0+1+0+1+0+0+0+1+0+0+1+0+0+0+0+0</f>
        <v>5</v>
      </c>
      <c r="G15" s="11">
        <f>0+0+0+0+1+0+0+0+0+0+0+0+2+0+0+0+0+0</f>
        <v>3</v>
      </c>
      <c r="H15" s="11">
        <f t="shared" si="0"/>
        <v>8</v>
      </c>
      <c r="I15" s="11">
        <f>1+0+1+0+1+1+1+0+3+1+2+1+0+0+0+2+2+0</f>
        <v>16</v>
      </c>
      <c r="J15" s="11"/>
      <c r="K15" s="11"/>
      <c r="L15" s="12"/>
      <c r="M15" s="11">
        <f>0+0+0+0+1+0+0+0+0+0+0+1+0+0+0+1+0+1</f>
        <v>4</v>
      </c>
      <c r="N15" s="34">
        <f>0+0+0+0+3+0+0+0+0+0+0+1+0+0+0+1+0+1</f>
        <v>6</v>
      </c>
      <c r="O15" s="11">
        <f>0+0+1+0+0+0+0+0+0+0+0+2+0+0+1+1+0</f>
        <v>5</v>
      </c>
      <c r="P15" s="50">
        <f t="shared" si="2"/>
        <v>2.6666666666666665</v>
      </c>
      <c r="Q15" s="50">
        <f t="shared" si="1"/>
        <v>0.83333333333333337</v>
      </c>
    </row>
    <row r="16" spans="1:20" x14ac:dyDescent="0.2">
      <c r="A16" s="11">
        <v>21</v>
      </c>
      <c r="B16" s="11" t="s">
        <v>36</v>
      </c>
      <c r="C16" t="s">
        <v>72</v>
      </c>
      <c r="D16" s="11">
        <v>17</v>
      </c>
      <c r="E16" s="11">
        <f>2+1+1+0+0+1+0+0+0+0+0+1+1+0+0+1+1+0</f>
        <v>9</v>
      </c>
      <c r="F16" s="11">
        <f>1+1+0+0+0+0+0+0+0+0+0+1+0+0+0+1+0+0</f>
        <v>4</v>
      </c>
      <c r="G16" s="11">
        <f>1+0+0+0+1+0+0+1+0+2+0+0+0+0+0+1+0+0</f>
        <v>6</v>
      </c>
      <c r="H16" s="11">
        <f>F16+G16</f>
        <v>10</v>
      </c>
      <c r="I16" s="11">
        <f>10+4+8+2+6+6+8+5+1+7+4+10+7+5+0+6+7+1</f>
        <v>97</v>
      </c>
      <c r="J16" s="11">
        <f>25+8+18+12+16+19+19+14+11+16+10+14+10+19+0+15+25+18</f>
        <v>269</v>
      </c>
      <c r="K16" s="11">
        <f>18+6+12+7+12+12+13+11+7+14+6+13+9+11+0+12+17+4</f>
        <v>184</v>
      </c>
      <c r="L16" s="30">
        <f>K16/J16</f>
        <v>0.68401486988847582</v>
      </c>
      <c r="M16" s="11">
        <f>1+1+1+0+0+1+1+1+1+0+0+0+0+0+0+0+0+0</f>
        <v>7</v>
      </c>
      <c r="N16" s="34">
        <f>1+1+0.5+0+0+0.5+1+1+1+0+0+0+0+0+0+0+0+0</f>
        <v>6</v>
      </c>
      <c r="O16" s="11">
        <f>1+0+1+0+0+2+1+1+0+0+0+1+0+1+0+0+1+1</f>
        <v>10</v>
      </c>
      <c r="P16" s="50">
        <f t="shared" si="2"/>
        <v>6.2941176470588234</v>
      </c>
      <c r="Q16" s="50">
        <f t="shared" si="1"/>
        <v>5.2941176470588234</v>
      </c>
    </row>
    <row r="17" spans="1:19" x14ac:dyDescent="0.2">
      <c r="A17" s="11">
        <v>24</v>
      </c>
      <c r="B17" s="11" t="s">
        <v>36</v>
      </c>
      <c r="C17" t="s">
        <v>73</v>
      </c>
      <c r="D17" s="11">
        <v>17</v>
      </c>
      <c r="E17" s="11">
        <f>8+4+5+4+0+11+15+5+14+3+8+9+9+6+4+7+10+8</f>
        <v>130</v>
      </c>
      <c r="F17" s="11">
        <f>3+0+1+1+0+2+1+1+3+3+3+1+4+0+0+2+3+2</f>
        <v>30</v>
      </c>
      <c r="G17" s="11">
        <f>1+0+1+0+0+0+1+1+0+0+0+0+0+0+0+1+0+0</f>
        <v>5</v>
      </c>
      <c r="H17" s="11">
        <f t="shared" si="0"/>
        <v>35</v>
      </c>
      <c r="I17" s="11">
        <f>11+2+7+3+0+5+6+2+3+3+3+3+5+3+3+4+3+1</f>
        <v>67</v>
      </c>
      <c r="J17" s="11"/>
      <c r="K17" s="11"/>
      <c r="L17" s="12"/>
      <c r="M17" s="11">
        <f>0+0+1+0+0+0+1+0+0+1+0+0+0+2+0+0+1+0</f>
        <v>6</v>
      </c>
      <c r="N17" s="34">
        <f>0+0+0.5+0+0+0+1+0+0+2+0+0+0+2+0+0+2+0</f>
        <v>7.5</v>
      </c>
      <c r="O17" s="11">
        <f>1+1+1+2+0+2+2+1+1+1+0+1+3+0+2+2+3+0</f>
        <v>23</v>
      </c>
      <c r="P17" s="50">
        <f t="shared" si="2"/>
        <v>3.5172413793103448</v>
      </c>
      <c r="Q17" s="50">
        <f t="shared" si="1"/>
        <v>4.2941176470588234</v>
      </c>
    </row>
    <row r="18" spans="1:19" x14ac:dyDescent="0.2">
      <c r="A18" s="11">
        <v>25</v>
      </c>
      <c r="B18" s="11" t="s">
        <v>36</v>
      </c>
      <c r="C18" t="s">
        <v>93</v>
      </c>
      <c r="D18" s="11">
        <v>5</v>
      </c>
      <c r="E18" s="11">
        <f>0+0+0+0+0+0+0+0+0+0+0+0+0+0+0+0+0+0</f>
        <v>0</v>
      </c>
      <c r="F18" s="11">
        <f>0+0+0+0+0+0+0+0+0+0+0+0+0+0+0+0+0+0</f>
        <v>0</v>
      </c>
      <c r="G18" s="11">
        <f>0+0+0+0+0+0+0+0+0+0+0+0+0+0+0+0+0+0</f>
        <v>0</v>
      </c>
      <c r="H18" s="11">
        <f>F18+G18</f>
        <v>0</v>
      </c>
      <c r="I18" s="11">
        <f>0+0+0+0+0+0+0+0+0+1+0+0+0+0+0+0+0+0</f>
        <v>1</v>
      </c>
      <c r="J18" s="11"/>
      <c r="K18" s="11"/>
      <c r="L18" s="12"/>
      <c r="M18" s="11">
        <f>0+0+0+0+0+0+0+0+0+0+0+0+0+0+0+0+0+0</f>
        <v>0</v>
      </c>
      <c r="N18" s="34">
        <f>0+0+0+0+0+0+0+0+0+0+0+0+0+0+0+0+0+0</f>
        <v>0</v>
      </c>
      <c r="O18" s="11">
        <f>0+0+1+0+0+0+0+0+0+0+0+0+0+0+0+0+0+0</f>
        <v>1</v>
      </c>
      <c r="P18" s="52">
        <f t="shared" si="2"/>
        <v>1</v>
      </c>
      <c r="Q18" s="52">
        <f t="shared" si="1"/>
        <v>0</v>
      </c>
      <c r="S18" s="51"/>
    </row>
    <row r="19" spans="1:19" x14ac:dyDescent="0.2">
      <c r="A19" s="11">
        <v>26</v>
      </c>
      <c r="B19" s="11" t="s">
        <v>36</v>
      </c>
      <c r="C19" t="s">
        <v>66</v>
      </c>
      <c r="D19" s="11">
        <v>18</v>
      </c>
      <c r="E19" s="11">
        <f>0+0+0+0+0+0+0+0+0+1+0+0+0+0+0+0+0+0</f>
        <v>1</v>
      </c>
      <c r="F19" s="11">
        <f>0+0+0+0+0+0+0+0+0+1+0+0+0+0+0+0+0+0</f>
        <v>1</v>
      </c>
      <c r="G19" s="11">
        <f>0+0+0+0+0+0+0+0+0+0+1+0+0+0+0+0+0+0</f>
        <v>1</v>
      </c>
      <c r="H19" s="11">
        <f>F19+G19</f>
        <v>2</v>
      </c>
      <c r="I19" s="11">
        <f>0+0+2+0+1+2+0+0+0+1+1+0+1+0+1+2+1+0</f>
        <v>12</v>
      </c>
      <c r="J19" s="11"/>
      <c r="K19" s="11"/>
      <c r="L19" s="12"/>
      <c r="M19" s="11">
        <f>0+0+0+0+3+1+0+1+0+1+0+1+0+0+1+1+2+1</f>
        <v>12</v>
      </c>
      <c r="N19" s="34">
        <f>0+0+0+0+2+0.5+0+0.5+0+1+0+1+0+0+1+0.5+2+1</f>
        <v>9.5</v>
      </c>
      <c r="O19" s="11">
        <f>0+0+0+0+2+2+0+0+0+2+0+0+0+0+0+2+0+0</f>
        <v>8</v>
      </c>
      <c r="P19" s="49">
        <f t="shared" si="2"/>
        <v>0.7</v>
      </c>
      <c r="Q19" s="49">
        <f t="shared" si="1"/>
        <v>-0.33333333333333331</v>
      </c>
    </row>
    <row r="20" spans="1:19" x14ac:dyDescent="0.2">
      <c r="A20" s="11">
        <v>29</v>
      </c>
      <c r="B20" s="11" t="s">
        <v>36</v>
      </c>
      <c r="C20" t="s">
        <v>69</v>
      </c>
      <c r="D20" s="11">
        <v>17</v>
      </c>
      <c r="E20" s="11">
        <f>0+0+0+0+0+0+0+0+0+4+0+0+0+0+1+0+0+0</f>
        <v>5</v>
      </c>
      <c r="F20" s="11">
        <f>0+0+0+0+0+0+0+0+0+0+0+0+0+0+0+0+0+0</f>
        <v>0</v>
      </c>
      <c r="G20" s="11">
        <f>0+0+1+0+0+0+0+0+0+0+0+0+0+0+0+0+0+0</f>
        <v>1</v>
      </c>
      <c r="H20" s="11">
        <f t="shared" si="0"/>
        <v>1</v>
      </c>
      <c r="I20" s="11">
        <f>0+1+1+0+3+0+1+0+1+7+4+1+3+0+4+4+0+1</f>
        <v>31</v>
      </c>
      <c r="J20" s="11">
        <f>4+7+4+0+4+0+4+4+9+9+5+15+21+7+3+6</f>
        <v>102</v>
      </c>
      <c r="K20" s="11">
        <f>4+3+0+0+2+0+2+3+8+6+3+13+9+6+2+1</f>
        <v>62</v>
      </c>
      <c r="L20" s="30">
        <f>K20/J20</f>
        <v>0.60784313725490191</v>
      </c>
      <c r="M20" s="11">
        <f>0+0+0+0+0+0+0+0+0+0+0+0+0+0+0+0+0+0</f>
        <v>0</v>
      </c>
      <c r="N20" s="34">
        <f>0+0+0+0+0+0+0+0+0+0+0+0+0+0+0+0+0+0</f>
        <v>0</v>
      </c>
      <c r="O20" s="11">
        <f>0+0+0+0+2+0+1+0+0+1+0+0+0+0+1+0+0+0</f>
        <v>5</v>
      </c>
      <c r="P20" s="50">
        <f t="shared" si="2"/>
        <v>6.4</v>
      </c>
      <c r="Q20" s="50">
        <f t="shared" si="1"/>
        <v>1.588235294117647</v>
      </c>
    </row>
    <row r="21" spans="1:19" x14ac:dyDescent="0.2">
      <c r="A21" s="11">
        <v>33</v>
      </c>
      <c r="B21" s="11" t="s">
        <v>36</v>
      </c>
      <c r="C21" t="s">
        <v>109</v>
      </c>
      <c r="D21" s="11">
        <v>3</v>
      </c>
      <c r="E21" s="11">
        <f>0+0+0</f>
        <v>0</v>
      </c>
      <c r="F21" s="11">
        <f>0+0+0</f>
        <v>0</v>
      </c>
      <c r="G21" s="11">
        <f>0+0+0</f>
        <v>0</v>
      </c>
      <c r="H21" s="11">
        <f t="shared" si="0"/>
        <v>0</v>
      </c>
      <c r="I21" s="11">
        <f>0+0+0</f>
        <v>0</v>
      </c>
      <c r="J21" s="11">
        <f>1</f>
        <v>1</v>
      </c>
      <c r="K21" s="11">
        <f>1</f>
        <v>1</v>
      </c>
      <c r="L21" s="30">
        <f>K21/J21</f>
        <v>1</v>
      </c>
      <c r="M21" s="11">
        <f>0+0+0</f>
        <v>0</v>
      </c>
      <c r="N21" s="34">
        <f>0+0+0</f>
        <v>0</v>
      </c>
      <c r="O21" s="11">
        <f>0+0+0</f>
        <v>0</v>
      </c>
      <c r="P21" s="50" t="e">
        <f t="shared" si="2"/>
        <v>#DIV/0!</v>
      </c>
      <c r="Q21" s="50">
        <f t="shared" si="1"/>
        <v>0</v>
      </c>
    </row>
    <row r="22" spans="1:19" x14ac:dyDescent="0.2">
      <c r="A22" s="11">
        <v>1</v>
      </c>
      <c r="B22" s="11" t="s">
        <v>94</v>
      </c>
      <c r="C22" t="s">
        <v>62</v>
      </c>
      <c r="D22" s="11">
        <v>18</v>
      </c>
      <c r="E22" s="11">
        <f>1+0+0+1+0+0+0+0+0+0+1+0+0+0+0+0+0</f>
        <v>3</v>
      </c>
      <c r="F22" s="11">
        <f>0+0+0+0+0+0+0+0+0+0+0+0+0+0+0+0+0+0</f>
        <v>0</v>
      </c>
      <c r="G22" s="11">
        <f>0+0+0+0+0+0+0+0+0+0+0+1+0+0+0+0+0+0</f>
        <v>1</v>
      </c>
      <c r="H22" s="11">
        <f t="shared" si="0"/>
        <v>1</v>
      </c>
      <c r="I22" s="11">
        <f>7+8+5+4+5+5+3+3+4+1+3+2+1+1+2+4+2+2</f>
        <v>62</v>
      </c>
      <c r="J22" s="11"/>
      <c r="K22" s="11"/>
      <c r="L22" s="12"/>
      <c r="M22" s="11">
        <f>1+0+2+0+0+0+0+0+0+0+0+0+0+1+2+1+2+1</f>
        <v>10</v>
      </c>
      <c r="N22" s="34">
        <f>1+0+1.5+0+0+0+0+0+0+0+0+0+0+2+2+1+2+1</f>
        <v>10.5</v>
      </c>
      <c r="O22" s="11">
        <f>2+3+1+0+0+1+1+1+3+0+1+1+0+2+1+2+4+4</f>
        <v>27</v>
      </c>
      <c r="P22" s="50">
        <f t="shared" si="2"/>
        <v>1.7027027027027026</v>
      </c>
      <c r="Q22" s="50">
        <f t="shared" si="1"/>
        <v>1.4444444444444444</v>
      </c>
    </row>
    <row r="23" spans="1:19" x14ac:dyDescent="0.2">
      <c r="A23" s="11">
        <v>5</v>
      </c>
      <c r="B23" s="11" t="s">
        <v>37</v>
      </c>
      <c r="C23" t="s">
        <v>59</v>
      </c>
      <c r="D23" s="11">
        <v>18</v>
      </c>
      <c r="E23" s="11">
        <f>0+0+0+0+0+0+0+0+0+0+0+0+0+0+0+0+0+0</f>
        <v>0</v>
      </c>
      <c r="F23" s="11">
        <f>0+0+0+0+0+0+0+0+0+0+0+0+0+0+0+0+0+0</f>
        <v>0</v>
      </c>
      <c r="G23" s="11">
        <f>0+0+0+0+0+0+0+0+0+0+0+0+0+0+0+0+0+0</f>
        <v>0</v>
      </c>
      <c r="H23" s="11">
        <f>F23+G23</f>
        <v>0</v>
      </c>
      <c r="I23" s="11">
        <f>0+0+0+0+1+0+0+0+0+0+0+0+0+1+1+0+0+1</f>
        <v>4</v>
      </c>
      <c r="J23" s="11"/>
      <c r="K23" s="11"/>
      <c r="M23" s="11">
        <f>0+0+0+0+0+0+0+0+0+0+0+0+0+1+0+0+2+0</f>
        <v>3</v>
      </c>
      <c r="N23" s="34">
        <f>0+0+0+0+0+0+0+0+0+0+0+0+0+1+0+0+2+0</f>
        <v>3</v>
      </c>
      <c r="O23" s="11">
        <f>0+0+0+0+0+0+0+0+0+0+0+0+0+1+0+0+1+0</f>
        <v>2</v>
      </c>
      <c r="P23" s="49">
        <f t="shared" si="2"/>
        <v>0.8</v>
      </c>
      <c r="Q23" s="49">
        <f t="shared" si="1"/>
        <v>-5.5555555555555552E-2</v>
      </c>
    </row>
    <row r="24" spans="1:19" x14ac:dyDescent="0.2">
      <c r="A24" s="11">
        <v>7</v>
      </c>
      <c r="B24" s="11" t="s">
        <v>94</v>
      </c>
      <c r="C24" t="s">
        <v>95</v>
      </c>
      <c r="D24" s="11">
        <v>11</v>
      </c>
      <c r="E24" s="11">
        <f>0+0+0+0+0+0+0+0+0+0+0+0+0+0+0+0+0+0</f>
        <v>0</v>
      </c>
      <c r="F24" s="11">
        <f>0+0+0+0+0+0+0+0+0+0+0+0+0+0+0+0+0+0</f>
        <v>0</v>
      </c>
      <c r="G24" s="11">
        <f>0+0+0+0+0+0+0+0+0+0+0+0+0+0+0+0+0+0</f>
        <v>0</v>
      </c>
      <c r="H24" s="11">
        <f t="shared" si="0"/>
        <v>0</v>
      </c>
      <c r="I24" s="11">
        <f>0+0+0+0+0+0+0+0+0+0+0+0+1+0+0+0+0+0</f>
        <v>1</v>
      </c>
      <c r="J24" s="11"/>
      <c r="K24" s="11"/>
      <c r="L24" s="12"/>
      <c r="M24" s="11">
        <f>0+0+0+0+0+0+0+0+0+0+0+0+0+0+0+0+0+0</f>
        <v>0</v>
      </c>
      <c r="N24" s="34">
        <f>0+0+0+0+0+0+0+0+0+0+0+0+0+0+0+0+0+0</f>
        <v>0</v>
      </c>
      <c r="O24" s="11">
        <f>0+0+0+0+0+0+0+0+0+0+0+0+0+0+0+1+0+0</f>
        <v>1</v>
      </c>
      <c r="P24" s="34">
        <f t="shared" si="2"/>
        <v>1</v>
      </c>
      <c r="Q24" s="34">
        <f t="shared" si="1"/>
        <v>0</v>
      </c>
    </row>
    <row r="25" spans="1:19" x14ac:dyDescent="0.2">
      <c r="A25" s="11">
        <v>12</v>
      </c>
      <c r="B25" s="11" t="s">
        <v>37</v>
      </c>
      <c r="C25" t="s">
        <v>70</v>
      </c>
      <c r="D25" s="11">
        <v>18</v>
      </c>
      <c r="E25" s="11">
        <f>0+0+1+0+0+0+0+0+0+0+0+0+0+0+0+0+0+0</f>
        <v>1</v>
      </c>
      <c r="F25" s="11">
        <f>0+0+0+0+0+0+0+0+0+0+0+0+0+0+0+0+0+0</f>
        <v>0</v>
      </c>
      <c r="G25" s="11">
        <f>0+0+0+0+0+0+0+0+0+0+0+0+0+0+0+0+0+0</f>
        <v>0</v>
      </c>
      <c r="H25" s="11">
        <f t="shared" si="0"/>
        <v>0</v>
      </c>
      <c r="I25" s="11">
        <f>1+1+1+1+3+7+1+2+2+3+1+2+2+1+3+3+1+0</f>
        <v>35</v>
      </c>
      <c r="J25" s="11"/>
      <c r="K25" s="11"/>
      <c r="L25" s="12"/>
      <c r="M25" s="11">
        <f>0+0+0+1+0+0+0+1+0+1+0+0+0+0+0+0+1+0</f>
        <v>4</v>
      </c>
      <c r="N25" s="34">
        <f>0+0+0+1+0+0+0+1+0+1+0+0+0+0+0+0+1+0</f>
        <v>4</v>
      </c>
      <c r="O25" s="11">
        <f>0+1+0+0+1+3+3+0+1+0+1+2+0+0+1+1+2+0</f>
        <v>16</v>
      </c>
      <c r="P25" s="50">
        <f t="shared" si="2"/>
        <v>1.75</v>
      </c>
      <c r="Q25" s="50">
        <f t="shared" si="1"/>
        <v>0.83333333333333337</v>
      </c>
    </row>
    <row r="26" spans="1:19" x14ac:dyDescent="0.2">
      <c r="A26" s="11">
        <v>15</v>
      </c>
      <c r="B26" s="11" t="s">
        <v>94</v>
      </c>
      <c r="C26" t="s">
        <v>60</v>
      </c>
      <c r="D26" s="11">
        <v>14</v>
      </c>
      <c r="E26" s="11">
        <f>0+0+1+0+0+0+0+0+2+1+0+0+2+0+0+0+0+0</f>
        <v>6</v>
      </c>
      <c r="F26" s="11">
        <f>0+0+0+0+0+0+0+0+1+0+0+0+0+0+0+0+0+0</f>
        <v>1</v>
      </c>
      <c r="G26" s="11">
        <f>1+0+0+0+0+0+0+0+0+0+0+0+0+0+0+0+0+0</f>
        <v>1</v>
      </c>
      <c r="H26" s="11">
        <f t="shared" si="0"/>
        <v>2</v>
      </c>
      <c r="I26" s="11">
        <f>2+3+2+2+6+4+2+4+3+5+3+5+9+0+0+0+0+0</f>
        <v>50</v>
      </c>
      <c r="J26" s="11"/>
      <c r="K26" s="11"/>
      <c r="L26" s="11"/>
      <c r="M26" s="11">
        <f>1+0+2+0+0+0+0+0+0+0+1+2+0+0+0+0+0+1</f>
        <v>7</v>
      </c>
      <c r="N26" s="34">
        <f>0.5+0+2+0+0+0+0+0+0+0+1+3+0+0+0+0+0+0.5</f>
        <v>7</v>
      </c>
      <c r="O26" s="11">
        <f>0+0+0+0+4+2+0+0+1+0+1+1+2+0+0+0+0+1</f>
        <v>12</v>
      </c>
      <c r="P26" s="50">
        <f t="shared" si="2"/>
        <v>2.736842105263158</v>
      </c>
      <c r="Q26" s="50">
        <f t="shared" si="1"/>
        <v>2.3571428571428572</v>
      </c>
    </row>
    <row r="27" spans="1:19" x14ac:dyDescent="0.2">
      <c r="A27" s="11">
        <v>17</v>
      </c>
      <c r="B27" s="11" t="s">
        <v>37</v>
      </c>
      <c r="C27" t="s">
        <v>96</v>
      </c>
      <c r="D27" s="11">
        <v>6</v>
      </c>
      <c r="E27" s="11">
        <f>0+0+0+0+0+0+0+0+0+0+0+0+0+0+0+0+0+0</f>
        <v>0</v>
      </c>
      <c r="F27" s="11">
        <f>0+0+0+0+0+0+0+0+0+0+0+0+0+0+0+0+0+0</f>
        <v>0</v>
      </c>
      <c r="G27" s="11">
        <f>0+0+0+0+0+0+0+0+0+0+0+0+0+0+0+0+0+0</f>
        <v>0</v>
      </c>
      <c r="H27" s="11">
        <f>F27+G27</f>
        <v>0</v>
      </c>
      <c r="I27" s="11">
        <f>0+0+0+0+0+0+0+0+0+0+1+0+0+0+0+0+0+0</f>
        <v>1</v>
      </c>
      <c r="J27" s="11"/>
      <c r="K27" s="11"/>
      <c r="L27" s="11"/>
      <c r="M27" s="11">
        <f t="shared" ref="M27:O28" si="3">0+0+0+0+0+0+0+0+0+0+0+0+0+0+0+0+0+0</f>
        <v>0</v>
      </c>
      <c r="N27" s="34">
        <f t="shared" si="3"/>
        <v>0</v>
      </c>
      <c r="O27" s="11">
        <f t="shared" si="3"/>
        <v>0</v>
      </c>
      <c r="P27" s="34" t="e">
        <f t="shared" si="2"/>
        <v>#DIV/0!</v>
      </c>
      <c r="Q27" s="50">
        <f t="shared" si="1"/>
        <v>0.16666666666666666</v>
      </c>
    </row>
    <row r="28" spans="1:19" x14ac:dyDescent="0.2">
      <c r="A28" s="11">
        <v>20</v>
      </c>
      <c r="B28" s="11" t="s">
        <v>37</v>
      </c>
      <c r="C28" t="s">
        <v>97</v>
      </c>
      <c r="D28" s="11">
        <v>5</v>
      </c>
      <c r="E28" s="11">
        <f>0+0+0+0+0+0+0+0+0+1+0+0+0+0+0+0+0+0</f>
        <v>1</v>
      </c>
      <c r="F28" s="11">
        <f>0+0+0+0+0+0+0+0+0+1+0+0+0+0+0+0+0+0</f>
        <v>1</v>
      </c>
      <c r="G28" s="11">
        <f>0+0+0+0+0+0+0+0+0+0+0+0+0+0+0+0+0+0</f>
        <v>0</v>
      </c>
      <c r="H28" s="11">
        <f t="shared" si="0"/>
        <v>1</v>
      </c>
      <c r="I28" s="11">
        <f>0+0+0+0+0+0+0+0+0+3+1+0+0+0+0+0+0+0</f>
        <v>4</v>
      </c>
      <c r="J28" s="11"/>
      <c r="K28" s="11"/>
      <c r="M28" s="11">
        <f t="shared" si="3"/>
        <v>0</v>
      </c>
      <c r="N28" s="34">
        <f t="shared" si="3"/>
        <v>0</v>
      </c>
      <c r="O28" s="11">
        <f t="shared" si="3"/>
        <v>0</v>
      </c>
      <c r="P28" s="34" t="e">
        <f t="shared" si="2"/>
        <v>#DIV/0!</v>
      </c>
      <c r="Q28" s="50">
        <f t="shared" si="1"/>
        <v>1</v>
      </c>
    </row>
    <row r="29" spans="1:19" x14ac:dyDescent="0.2">
      <c r="A29" s="11">
        <v>23</v>
      </c>
      <c r="B29" s="11" t="s">
        <v>37</v>
      </c>
      <c r="C29" t="s">
        <v>80</v>
      </c>
      <c r="D29" s="11">
        <v>18</v>
      </c>
      <c r="E29" s="11">
        <f>0+0+0+0+0+0+0+0+0+0+0+0+0+0+0+0+0</f>
        <v>0</v>
      </c>
      <c r="F29" s="11">
        <f>0+0+0+0+0+0+0+0+0+0+0+0+0+0+0+0+0+0</f>
        <v>0</v>
      </c>
      <c r="G29" s="11">
        <f>0+0+0+0+0+0+0+0+0+0+0+0+0+0+0+0+0+0</f>
        <v>0</v>
      </c>
      <c r="H29" s="11">
        <f t="shared" si="0"/>
        <v>0</v>
      </c>
      <c r="I29" s="11">
        <f>1+0+3+0+3+0+3+0+1+1+0+1+1+1+0+2+0+2</f>
        <v>19</v>
      </c>
      <c r="J29" s="11"/>
      <c r="K29" s="11"/>
      <c r="L29" s="12"/>
      <c r="M29" s="11">
        <f>0+1+0+1+0+1+0+0+0+0+0+0+0+1+1+0+2+0</f>
        <v>7</v>
      </c>
      <c r="N29" s="34">
        <f>0+3+0+0.5+0+1+0+0+0+0+0+0+0+0.5+1+0+2+0</f>
        <v>8</v>
      </c>
      <c r="O29" s="11">
        <f>1+0+1+1+1+1+2+0+1+0+1+0+1+0+0+1+1+0</f>
        <v>12</v>
      </c>
      <c r="P29" s="52">
        <f t="shared" si="2"/>
        <v>1</v>
      </c>
      <c r="Q29" s="52">
        <f t="shared" si="1"/>
        <v>0</v>
      </c>
    </row>
    <row r="30" spans="1:19" x14ac:dyDescent="0.2">
      <c r="A30" s="11">
        <v>28</v>
      </c>
      <c r="B30" s="11" t="s">
        <v>37</v>
      </c>
      <c r="C30" t="s">
        <v>98</v>
      </c>
      <c r="D30" s="11">
        <v>16</v>
      </c>
      <c r="E30" s="11">
        <f>0+0+0+0+0+0+0+0+0+0+0+0+0+0+0+0+0+0</f>
        <v>0</v>
      </c>
      <c r="F30" s="11">
        <f>0+0+0+0+0+0+0+0+0+0+0+0+0+0+0+0+0+0</f>
        <v>0</v>
      </c>
      <c r="G30" s="11">
        <f>0+0+0+0+0+0+0+0+0+0+0+0+0+0+0+0+0+0</f>
        <v>0</v>
      </c>
      <c r="H30" s="11">
        <f t="shared" si="0"/>
        <v>0</v>
      </c>
      <c r="I30" s="11">
        <f>0+0+0+0+0+1+0+0+4+1+1+1+0+0+1+1+1+1</f>
        <v>12</v>
      </c>
      <c r="J30" s="11"/>
      <c r="K30" s="11"/>
      <c r="L30" s="11"/>
      <c r="M30" s="11">
        <f>0+0+0+0+0+0+0+0+0+0+0+1+0+0+0+0+0+0</f>
        <v>1</v>
      </c>
      <c r="N30" s="34">
        <f>0+0+0+0+0+0+0+0+0+0+0+1+0+0+0+0+0+0</f>
        <v>1</v>
      </c>
      <c r="O30" s="11">
        <f>0+0+0+1+0+0+0+0+0+0+0+0+1+0+1+1+1+0</f>
        <v>5</v>
      </c>
      <c r="P30" s="50">
        <f t="shared" si="2"/>
        <v>2</v>
      </c>
      <c r="Q30" s="50">
        <f t="shared" si="1"/>
        <v>0.375</v>
      </c>
    </row>
    <row r="31" spans="1:19" x14ac:dyDescent="0.2">
      <c r="A31" s="11">
        <v>34</v>
      </c>
      <c r="B31" s="11" t="s">
        <v>37</v>
      </c>
      <c r="C31" t="s">
        <v>99</v>
      </c>
      <c r="D31" s="11">
        <v>4</v>
      </c>
      <c r="E31" s="11">
        <f>0+0+0+0+0+0+0</f>
        <v>0</v>
      </c>
      <c r="F31" s="11">
        <f t="shared" ref="F31" si="4">0+0+0+0+0+0+0</f>
        <v>0</v>
      </c>
      <c r="G31" s="11">
        <f>0+0+0+0+0+0+0</f>
        <v>0</v>
      </c>
      <c r="H31" s="11">
        <f t="shared" si="0"/>
        <v>0</v>
      </c>
      <c r="I31" s="11">
        <f>0+0+0+0+0+0+0</f>
        <v>0</v>
      </c>
      <c r="J31" s="11"/>
      <c r="K31" s="11"/>
      <c r="L31" s="11"/>
      <c r="M31" s="11">
        <f>0+0+0+0+0+0+0</f>
        <v>0</v>
      </c>
      <c r="N31" s="34">
        <f>0+0+0+0+0+0+0</f>
        <v>0</v>
      </c>
      <c r="O31" s="11">
        <f>0+0+0+0+0+0+0</f>
        <v>0</v>
      </c>
      <c r="P31" s="34" t="e">
        <f t="shared" si="2"/>
        <v>#DIV/0!</v>
      </c>
      <c r="Q31" s="34">
        <f t="shared" si="1"/>
        <v>0</v>
      </c>
    </row>
    <row r="32" spans="1:19" x14ac:dyDescent="0.2">
      <c r="A32" s="11">
        <v>10</v>
      </c>
      <c r="B32" s="11" t="s">
        <v>36</v>
      </c>
      <c r="C32" t="s">
        <v>110</v>
      </c>
      <c r="D32" s="11">
        <v>1</v>
      </c>
      <c r="E32" s="11">
        <f>0</f>
        <v>0</v>
      </c>
      <c r="F32" s="11">
        <f>0</f>
        <v>0</v>
      </c>
      <c r="G32" s="11">
        <f>0</f>
        <v>0</v>
      </c>
      <c r="H32" s="11">
        <f t="shared" si="0"/>
        <v>0</v>
      </c>
      <c r="I32" s="11">
        <f>0</f>
        <v>0</v>
      </c>
      <c r="J32" s="11">
        <v>1</v>
      </c>
      <c r="K32" s="11">
        <v>1</v>
      </c>
      <c r="L32" s="30">
        <f>K32/J32</f>
        <v>1</v>
      </c>
      <c r="M32" s="11">
        <f>0</f>
        <v>0</v>
      </c>
      <c r="N32" s="34">
        <f>0</f>
        <v>0</v>
      </c>
      <c r="O32" s="11">
        <f>0</f>
        <v>0</v>
      </c>
      <c r="P32" s="34" t="e">
        <f t="shared" si="2"/>
        <v>#DIV/0!</v>
      </c>
      <c r="Q32" s="34">
        <f t="shared" si="1"/>
        <v>0</v>
      </c>
    </row>
    <row r="33" spans="1:17" x14ac:dyDescent="0.2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4"/>
      <c r="P33" s="34"/>
      <c r="Q33" s="34"/>
    </row>
    <row r="34" spans="1:17" x14ac:dyDescent="0.2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4"/>
      <c r="P34" s="34"/>
    </row>
    <row r="35" spans="1:17" x14ac:dyDescent="0.2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4"/>
      <c r="P35" s="34"/>
    </row>
    <row r="36" spans="1:17" x14ac:dyDescent="0.2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4"/>
      <c r="P36" s="34"/>
    </row>
    <row r="37" spans="1:17" x14ac:dyDescent="0.2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4"/>
      <c r="P37" s="34"/>
    </row>
    <row r="38" spans="1:17" x14ac:dyDescent="0.2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4"/>
      <c r="P38" s="34"/>
    </row>
    <row r="39" spans="1:17" x14ac:dyDescent="0.2">
      <c r="A39" s="11">
        <v>22</v>
      </c>
      <c r="B39" s="11" t="s">
        <v>38</v>
      </c>
      <c r="C39" t="s">
        <v>71</v>
      </c>
      <c r="D39" s="11">
        <v>10</v>
      </c>
      <c r="E39" s="11">
        <f>0+0+0+0+0+0+0+0+0+0+0+0+0+0+0+0+0+0</f>
        <v>0</v>
      </c>
      <c r="F39" s="11">
        <f>0+0+0+0+0+0+0+0+0+0+0+0+0+0+0+0+0+0</f>
        <v>0</v>
      </c>
      <c r="G39" s="11">
        <f>0+0+0+0+0+0+0+0+0+0+0+0+0+0+0+0+0+0</f>
        <v>0</v>
      </c>
      <c r="H39" s="11">
        <f>F39+G39</f>
        <v>0</v>
      </c>
      <c r="I39" s="11">
        <f>0+0+0+0+0+0+3+2+1+0+0+1+2+1+1+0+0+0</f>
        <v>11</v>
      </c>
      <c r="J39" s="11"/>
      <c r="K39" s="11"/>
      <c r="L39" s="11"/>
      <c r="M39" s="11">
        <f>0+0+0+0+0+0+0+0+0+0+0+0+0+0+0+0+0+0</f>
        <v>0</v>
      </c>
      <c r="N39" s="43">
        <f>0+0+0+0+0+0+0+0+0+0+0+0+0+0+0+0+0+0</f>
        <v>0</v>
      </c>
      <c r="O39" s="11">
        <f>0+0+0+0+0+0+0+0+0+0+0+0+0+1+1+0+0+0</f>
        <v>2</v>
      </c>
      <c r="P39" s="52">
        <f>(I39+H39)+(F52/3)/(M39+O39)</f>
        <v>14</v>
      </c>
      <c r="Q39" s="50">
        <f>((H39+I39-M39-O39)+(F52/3))/D39</f>
        <v>1.5</v>
      </c>
    </row>
    <row r="40" spans="1:17" x14ac:dyDescent="0.2">
      <c r="A40" s="11">
        <v>30</v>
      </c>
      <c r="B40" s="11" t="s">
        <v>38</v>
      </c>
      <c r="C40" t="s">
        <v>85</v>
      </c>
      <c r="D40" s="11">
        <v>5</v>
      </c>
      <c r="E40" s="11">
        <f t="shared" ref="E40:G41" si="5">0+0+0+0+0+0+0+0+0+0+0+0+0+0+0+0+0</f>
        <v>0</v>
      </c>
      <c r="F40" s="11">
        <f t="shared" si="5"/>
        <v>0</v>
      </c>
      <c r="G40" s="11">
        <f t="shared" si="5"/>
        <v>0</v>
      </c>
      <c r="H40" s="11">
        <f t="shared" ref="H40:H41" si="6">F40+G40</f>
        <v>0</v>
      </c>
      <c r="I40" s="11">
        <f>2+3+1+0+0+0+0+0+0+0+0+0+0+0+0+0+0</f>
        <v>6</v>
      </c>
      <c r="J40" s="11"/>
      <c r="K40" s="11"/>
      <c r="L40" s="11"/>
      <c r="M40" s="11">
        <f>0+0+0+0+0+0+0+0+0+0+0+0+0+0+0+0+0</f>
        <v>0</v>
      </c>
      <c r="N40" s="43">
        <f>0+0+0+0+0+0+0+0+0+0+0+0+0+0+0+0+0</f>
        <v>0</v>
      </c>
      <c r="O40" s="11">
        <f>2+0+1+0+0+0+0+0+0+0+0+0+0+0+0+0+0</f>
        <v>3</v>
      </c>
      <c r="P40" s="50">
        <f t="shared" ref="P40:P41" si="7">(I40+H40)+(F53/3)/(M40+O40)</f>
        <v>12</v>
      </c>
      <c r="Q40" s="50">
        <f>((H40+I40-M40-O40)+(F53/3))/D40</f>
        <v>4.2</v>
      </c>
    </row>
    <row r="41" spans="1:17" x14ac:dyDescent="0.2">
      <c r="A41" s="11">
        <v>32</v>
      </c>
      <c r="B41" s="11" t="s">
        <v>38</v>
      </c>
      <c r="C41" t="s">
        <v>86</v>
      </c>
      <c r="D41" s="11">
        <v>15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6"/>
        <v>0</v>
      </c>
      <c r="I41" s="11">
        <f>0+0+0+3+2+7+2+1+0+0+1+0+0+2+5+1+0</f>
        <v>24</v>
      </c>
      <c r="J41" s="11"/>
      <c r="K41" s="11"/>
      <c r="L41" s="11"/>
      <c r="M41" s="11">
        <f>0+0+0+0+0+0+0+0+0+0+0+0+0+0+0+0+1</f>
        <v>1</v>
      </c>
      <c r="N41" s="43">
        <f>0+0+0+0+0+0+0+0+0+0+0+0+0+0+0+0+1</f>
        <v>1</v>
      </c>
      <c r="O41" s="11">
        <f>0+0+0+0+0+2+2+0+1+1+0+0+0+2+1+0+0</f>
        <v>9</v>
      </c>
      <c r="P41" s="50">
        <f t="shared" si="7"/>
        <v>26.6</v>
      </c>
      <c r="Q41" s="50">
        <f>((H41+I41-M41-O41)+(F54/3))/D41</f>
        <v>2.6666666666666665</v>
      </c>
    </row>
    <row r="42" spans="1:17" x14ac:dyDescent="0.2">
      <c r="D42" s="11"/>
      <c r="E42" s="11"/>
      <c r="F42" s="11"/>
      <c r="G42" s="11"/>
      <c r="H42" s="11"/>
      <c r="I42" s="11"/>
      <c r="J42" s="11"/>
      <c r="K42" s="11"/>
      <c r="N42" s="34"/>
    </row>
    <row r="43" spans="1:17" x14ac:dyDescent="0.2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4"/>
    </row>
    <row r="44" spans="1:17" x14ac:dyDescent="0.2">
      <c r="D44" s="11"/>
      <c r="E44" s="11"/>
      <c r="F44" s="11"/>
      <c r="G44" s="11"/>
      <c r="H44" s="11"/>
      <c r="I44" s="11"/>
      <c r="J44" s="11"/>
      <c r="K44" s="11"/>
      <c r="L44" s="11" t="s">
        <v>102</v>
      </c>
      <c r="M44" s="11">
        <f>1</f>
        <v>1</v>
      </c>
      <c r="N44" s="43">
        <f>0.5</f>
        <v>0.5</v>
      </c>
      <c r="O44" s="43">
        <f>2+0+1+0+1+0+0+0+1</f>
        <v>5</v>
      </c>
      <c r="Q44" s="34"/>
    </row>
    <row r="45" spans="1:17" x14ac:dyDescent="0.2">
      <c r="D45" s="11"/>
      <c r="E45" s="11"/>
      <c r="F45" s="11"/>
      <c r="G45" s="11"/>
      <c r="H45" s="11"/>
      <c r="I45" s="11"/>
      <c r="J45" s="11"/>
      <c r="K45" s="11"/>
      <c r="M45" s="11"/>
      <c r="N45" s="20"/>
    </row>
    <row r="46" spans="1:17" x14ac:dyDescent="0.2">
      <c r="A46" s="11" t="s">
        <v>53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20"/>
    </row>
    <row r="47" spans="1:17" x14ac:dyDescent="0.2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20"/>
    </row>
    <row r="48" spans="1:17" x14ac:dyDescent="0.2">
      <c r="D48" s="11"/>
      <c r="E48" s="11"/>
      <c r="F48" s="11"/>
      <c r="G48" s="11"/>
      <c r="H48" s="11"/>
      <c r="I48" s="11"/>
      <c r="J48" s="16"/>
      <c r="K48" s="16"/>
      <c r="L48" s="16"/>
      <c r="M48" s="11"/>
      <c r="N48" s="20"/>
      <c r="O48" s="16"/>
    </row>
    <row r="49" spans="3:15" x14ac:dyDescent="0.2">
      <c r="C49" s="13" t="s">
        <v>30</v>
      </c>
      <c r="D49" s="11"/>
      <c r="E49" s="14">
        <f>SUM(E3:E48)</f>
        <v>630</v>
      </c>
      <c r="F49" s="14">
        <f>SUM(F3:F48)</f>
        <v>198</v>
      </c>
      <c r="G49" s="14">
        <f>SUM(G3:G48)</f>
        <v>94</v>
      </c>
      <c r="H49" s="11"/>
      <c r="I49" s="14">
        <f>SUM(I3:I48)</f>
        <v>760</v>
      </c>
      <c r="J49" s="11">
        <f>SUM(J3:J48)</f>
        <v>373</v>
      </c>
      <c r="K49" s="11">
        <f>SUM(K3:K48)</f>
        <v>248</v>
      </c>
      <c r="L49" s="12">
        <f>K49/J49</f>
        <v>0.66487935656836461</v>
      </c>
      <c r="M49" s="14">
        <f>SUM(M3:M48)</f>
        <v>98</v>
      </c>
      <c r="N49" s="21">
        <f>SUM(N3:N48)</f>
        <v>98.5</v>
      </c>
      <c r="O49" s="11">
        <f>SUM(O3:O48)</f>
        <v>339</v>
      </c>
    </row>
    <row r="51" spans="3:15" ht="39" x14ac:dyDescent="0.2">
      <c r="C51" s="2"/>
      <c r="D51" s="3" t="s">
        <v>10</v>
      </c>
      <c r="E51" s="3" t="s">
        <v>75</v>
      </c>
      <c r="F51" s="3" t="s">
        <v>11</v>
      </c>
      <c r="G51" s="37" t="s">
        <v>61</v>
      </c>
      <c r="H51" s="3" t="s">
        <v>76</v>
      </c>
    </row>
    <row r="52" spans="3:15" x14ac:dyDescent="0.2">
      <c r="C52" s="17" t="s">
        <v>85</v>
      </c>
      <c r="D52" s="5">
        <v>3</v>
      </c>
      <c r="E52" s="5">
        <f>12+13+8+0+1+1</f>
        <v>35</v>
      </c>
      <c r="F52" s="5">
        <f>3+9+4+0+1+1</f>
        <v>18</v>
      </c>
      <c r="G52" s="42">
        <f>F52/D40</f>
        <v>3.6</v>
      </c>
      <c r="H52" s="12">
        <f>F52/E52</f>
        <v>0.51428571428571423</v>
      </c>
      <c r="L52" s="23" t="s">
        <v>42</v>
      </c>
      <c r="M52" s="23" t="s">
        <v>43</v>
      </c>
    </row>
    <row r="53" spans="3:15" x14ac:dyDescent="0.2">
      <c r="C53" t="s">
        <v>71</v>
      </c>
      <c r="D53" s="6">
        <v>7</v>
      </c>
      <c r="E53" s="6">
        <f>0+0+0+0+0+0+13+8+3+4+6+3+18+15+19+11</f>
        <v>100</v>
      </c>
      <c r="F53" s="6">
        <f>0+0+0+0+0+0+8+4+2+3+6+3+9+8+9+2</f>
        <v>54</v>
      </c>
      <c r="G53" s="42">
        <f>F53/D39</f>
        <v>5.4</v>
      </c>
      <c r="H53" s="12">
        <f>F53/E53</f>
        <v>0.54</v>
      </c>
      <c r="J53" s="13" t="s">
        <v>31</v>
      </c>
      <c r="L53" s="11">
        <f>2+3+9+5+6+4+10+3+6+3+2+3+3+3+8+3+4+8</f>
        <v>85</v>
      </c>
      <c r="M53" s="11">
        <f>3+3+8+6+5.5+3+10.5+3+5+3+1.5+3+3.5+2.5+7.5+3+3.5+6</f>
        <v>80.5</v>
      </c>
      <c r="N53" s="15"/>
    </row>
    <row r="54" spans="3:15" x14ac:dyDescent="0.2">
      <c r="C54" s="17" t="s">
        <v>86</v>
      </c>
      <c r="D54" s="6">
        <v>8</v>
      </c>
      <c r="E54" s="6">
        <f>0+0+7+6+11+20+9+8+2+7+5+3+4+13+21+17+16</f>
        <v>149</v>
      </c>
      <c r="F54" s="6">
        <f>0+0+6+6+7+13+3+4+0+6+5+0+1+5+10+7+5</f>
        <v>78</v>
      </c>
      <c r="G54" s="42">
        <f>F54/D41</f>
        <v>5.2</v>
      </c>
      <c r="H54" s="12">
        <f>F54/E54</f>
        <v>0.52348993288590606</v>
      </c>
    </row>
    <row r="55" spans="3:15" x14ac:dyDescent="0.2">
      <c r="C55" s="17"/>
      <c r="D55" s="6"/>
      <c r="E55" s="6"/>
      <c r="F55" s="6"/>
      <c r="G55" s="42"/>
      <c r="H55" s="12"/>
    </row>
    <row r="56" spans="3:15" x14ac:dyDescent="0.2">
      <c r="C56" s="7" t="s">
        <v>19</v>
      </c>
      <c r="D56" s="3" t="s">
        <v>29</v>
      </c>
      <c r="E56" s="3" t="s">
        <v>20</v>
      </c>
      <c r="F56" s="3" t="s">
        <v>21</v>
      </c>
      <c r="G56" s="18" t="s">
        <v>39</v>
      </c>
      <c r="L56" s="22" t="s">
        <v>9</v>
      </c>
    </row>
    <row r="57" spans="3:15" x14ac:dyDescent="0.2">
      <c r="C57" s="4"/>
      <c r="D57" s="6">
        <v>18</v>
      </c>
      <c r="E57" s="6">
        <f>16+20+18+14+22+19+13+15+14+13+18+23+19+11+14+15+11+12</f>
        <v>287</v>
      </c>
      <c r="F57" s="6">
        <f>3+10+3+4+2+9+7+0+6+1+3+4+3+2+3+6+5+4</f>
        <v>75</v>
      </c>
      <c r="G57" s="19">
        <f>E57/(F57+E57)</f>
        <v>0.79281767955801108</v>
      </c>
      <c r="J57" s="13" t="s">
        <v>40</v>
      </c>
      <c r="L57" s="34"/>
    </row>
    <row r="58" spans="3:15" x14ac:dyDescent="0.2">
      <c r="C58" s="4"/>
      <c r="D58" s="6"/>
      <c r="E58" s="6"/>
      <c r="F58" s="6"/>
      <c r="G58" s="2"/>
    </row>
    <row r="59" spans="3:15" x14ac:dyDescent="0.2">
      <c r="C59" s="7" t="s">
        <v>27</v>
      </c>
      <c r="D59" s="3" t="s">
        <v>29</v>
      </c>
      <c r="E59" s="3" t="s">
        <v>20</v>
      </c>
      <c r="F59" s="3" t="s">
        <v>21</v>
      </c>
      <c r="G59" s="18" t="s">
        <v>39</v>
      </c>
      <c r="J59" s="13" t="s">
        <v>41</v>
      </c>
      <c r="L59" s="34"/>
    </row>
    <row r="60" spans="3:15" x14ac:dyDescent="0.2">
      <c r="C60" s="4"/>
      <c r="D60" s="6">
        <v>18</v>
      </c>
      <c r="E60" s="6">
        <f>16+13+10+12+15+20+16+9+8+8+9+16+16+17+19+19+21+15</f>
        <v>259</v>
      </c>
      <c r="F60" s="6">
        <f>9+6+9+7+12+3+3+8+9+11+8+14+12+1+4+6+10+2</f>
        <v>134</v>
      </c>
      <c r="G60" s="19">
        <f>E60/(F60+E60)</f>
        <v>0.65903307888040707</v>
      </c>
    </row>
    <row r="61" spans="3:15" x14ac:dyDescent="0.2">
      <c r="C61" s="4"/>
      <c r="D61" s="6"/>
      <c r="E61" s="6"/>
      <c r="F61" s="6"/>
      <c r="G61" s="2"/>
    </row>
    <row r="62" spans="3:15" x14ac:dyDescent="0.2">
      <c r="C62" s="7" t="s">
        <v>22</v>
      </c>
      <c r="D62" s="3" t="s">
        <v>29</v>
      </c>
      <c r="E62" s="3" t="s">
        <v>23</v>
      </c>
      <c r="F62" s="3" t="s">
        <v>24</v>
      </c>
      <c r="G62" s="18" t="s">
        <v>39</v>
      </c>
      <c r="J62" s="13" t="s">
        <v>54</v>
      </c>
      <c r="L62" s="11">
        <f>22+22+19+21+28+23+18+14+22+18+15+28+22+10+13+18+14+10</f>
        <v>337</v>
      </c>
    </row>
    <row r="63" spans="3:15" x14ac:dyDescent="0.2">
      <c r="C63" s="4"/>
      <c r="D63" s="6">
        <v>18</v>
      </c>
      <c r="E63" s="6">
        <f>0+2+5+3+4+0+3+1+2+3+0+2+5+1+2+2+2+2</f>
        <v>39</v>
      </c>
      <c r="F63" s="6">
        <f>1+1+3+2+2+4+7+2+4+0+2+1+1+2+6+1+2+6</f>
        <v>47</v>
      </c>
      <c r="G63" s="19">
        <f>E63/(F63+E63)</f>
        <v>0.45348837209302323</v>
      </c>
    </row>
    <row r="64" spans="3:15" x14ac:dyDescent="0.2">
      <c r="C64" s="4"/>
      <c r="D64" s="6"/>
      <c r="E64" s="6"/>
      <c r="F64" s="6"/>
      <c r="G64" s="2"/>
      <c r="J64" s="28" t="s">
        <v>55</v>
      </c>
      <c r="K64" s="11">
        <f>34+19+26+17+26+15+17+27+26+24+31+37+32+11+15+17+19+9</f>
        <v>402</v>
      </c>
    </row>
    <row r="65" spans="1:11" x14ac:dyDescent="0.2">
      <c r="C65" s="7" t="s">
        <v>25</v>
      </c>
      <c r="D65" s="3" t="s">
        <v>29</v>
      </c>
      <c r="E65" s="3" t="s">
        <v>23</v>
      </c>
      <c r="F65" s="3" t="s">
        <v>24</v>
      </c>
      <c r="G65" s="18" t="s">
        <v>39</v>
      </c>
    </row>
    <row r="66" spans="1:11" x14ac:dyDescent="0.2">
      <c r="C66" s="4"/>
      <c r="D66" s="6">
        <v>18</v>
      </c>
      <c r="E66" s="6">
        <f>3+0+2+0+1+0+0+1+2+1+0+0+1+2+1+1+4+2</f>
        <v>21</v>
      </c>
      <c r="F66" s="6">
        <f>2+2+5+7+6+4+2+8+5+4+2+6+0+3+4+4+7+3</f>
        <v>74</v>
      </c>
      <c r="G66" s="19">
        <f>E66/(F66+E66)</f>
        <v>0.22105263157894736</v>
      </c>
      <c r="J66" s="28" t="s">
        <v>56</v>
      </c>
      <c r="K66" s="11">
        <f>12+13+15+11+20+23+8+11+6+8+11+7+22+28+21+36+27</f>
        <v>279</v>
      </c>
    </row>
    <row r="67" spans="1:11" x14ac:dyDescent="0.2">
      <c r="C67" s="4"/>
      <c r="D67" s="6"/>
      <c r="E67" s="6"/>
      <c r="F67" s="6"/>
      <c r="G67" s="2"/>
    </row>
    <row r="68" spans="1:11" x14ac:dyDescent="0.2">
      <c r="C68" s="2"/>
      <c r="D68" s="2"/>
      <c r="E68" s="2"/>
      <c r="F68" s="2"/>
      <c r="G68" s="2"/>
    </row>
    <row r="69" spans="1:11" x14ac:dyDescent="0.2">
      <c r="C69" s="7" t="s">
        <v>12</v>
      </c>
      <c r="D69" s="3" t="s">
        <v>13</v>
      </c>
      <c r="E69" s="3"/>
      <c r="F69" s="3" t="s">
        <v>14</v>
      </c>
      <c r="G69" s="2"/>
    </row>
    <row r="70" spans="1:11" x14ac:dyDescent="0.2">
      <c r="C70" s="7" t="s">
        <v>15</v>
      </c>
      <c r="D70" s="8">
        <f>17+8+14+9+13+8+7+12+14+19+16+15+19+4+5+9+6+3</f>
        <v>198</v>
      </c>
      <c r="E70" s="8"/>
      <c r="F70" s="8">
        <f>9+4+5+0+4+7+12+4+5+3+1+0+3+12+15+10+20+20</f>
        <v>134</v>
      </c>
      <c r="G70" s="2"/>
    </row>
    <row r="71" spans="1:11" x14ac:dyDescent="0.2">
      <c r="C71" s="7" t="s">
        <v>16</v>
      </c>
      <c r="D71" s="9">
        <f>D70/D66</f>
        <v>11</v>
      </c>
      <c r="E71" s="9"/>
      <c r="F71" s="9">
        <f>F70/D66</f>
        <v>7.4444444444444446</v>
      </c>
      <c r="G71" s="2"/>
    </row>
    <row r="72" spans="1:11" x14ac:dyDescent="0.2">
      <c r="C72" s="7" t="s">
        <v>17</v>
      </c>
      <c r="D72" s="10" t="s">
        <v>106</v>
      </c>
      <c r="E72" s="10"/>
      <c r="F72" s="10" t="s">
        <v>111</v>
      </c>
      <c r="G72" s="10" t="s">
        <v>18</v>
      </c>
    </row>
    <row r="77" spans="1:11" x14ac:dyDescent="0.2">
      <c r="C77" s="22" t="s">
        <v>44</v>
      </c>
      <c r="D77" s="23" t="s">
        <v>46</v>
      </c>
      <c r="E77" s="23" t="s">
        <v>47</v>
      </c>
      <c r="F77" s="23" t="s">
        <v>48</v>
      </c>
      <c r="G77" s="23" t="s">
        <v>49</v>
      </c>
      <c r="H77" s="23" t="s">
        <v>50</v>
      </c>
    </row>
    <row r="79" spans="1:11" x14ac:dyDescent="0.2">
      <c r="A79" s="24">
        <v>43159</v>
      </c>
      <c r="C79" s="36" t="s">
        <v>45</v>
      </c>
      <c r="D79" s="11">
        <v>5</v>
      </c>
      <c r="E79" s="11">
        <v>4</v>
      </c>
      <c r="F79" s="11">
        <v>4</v>
      </c>
      <c r="G79" s="11">
        <v>4</v>
      </c>
      <c r="H79" s="11">
        <f>SUM(D79:G79)</f>
        <v>17</v>
      </c>
    </row>
    <row r="80" spans="1:11" x14ac:dyDescent="0.2">
      <c r="A80" s="11" t="s">
        <v>100</v>
      </c>
      <c r="C80" s="22" t="s">
        <v>81</v>
      </c>
      <c r="D80" s="11">
        <v>3</v>
      </c>
      <c r="E80" s="11">
        <v>3</v>
      </c>
      <c r="F80" s="11">
        <v>2</v>
      </c>
      <c r="G80" s="11">
        <v>1</v>
      </c>
      <c r="H80" s="11">
        <f>SUM(D80:G80)</f>
        <v>9</v>
      </c>
    </row>
    <row r="81" spans="1:8" x14ac:dyDescent="0.2">
      <c r="B81" s="25" t="s">
        <v>51</v>
      </c>
      <c r="C81" s="13" t="s">
        <v>45</v>
      </c>
      <c r="D81" s="31"/>
      <c r="E81" s="31"/>
      <c r="F81" s="31"/>
      <c r="G81" s="31"/>
      <c r="H81" s="38"/>
    </row>
    <row r="82" spans="1:8" x14ac:dyDescent="0.2">
      <c r="B82" s="27"/>
      <c r="C82" s="22" t="s">
        <v>81</v>
      </c>
      <c r="D82" s="32"/>
      <c r="E82" s="32"/>
      <c r="F82" s="32"/>
      <c r="G82" s="32"/>
      <c r="H82" s="33"/>
    </row>
    <row r="84" spans="1:8" x14ac:dyDescent="0.2">
      <c r="A84" s="24">
        <v>43161</v>
      </c>
      <c r="C84" s="13" t="s">
        <v>45</v>
      </c>
      <c r="D84" s="11">
        <v>1</v>
      </c>
      <c r="E84" s="11">
        <v>2</v>
      </c>
      <c r="F84" s="11">
        <v>2</v>
      </c>
      <c r="G84" s="11">
        <v>3</v>
      </c>
      <c r="H84" s="11">
        <f>SUM(D84:G84)</f>
        <v>8</v>
      </c>
    </row>
    <row r="85" spans="1:8" x14ac:dyDescent="0.2">
      <c r="A85" s="11" t="s">
        <v>101</v>
      </c>
      <c r="C85" s="13" t="s">
        <v>77</v>
      </c>
      <c r="D85" s="11">
        <v>0</v>
      </c>
      <c r="E85" s="11">
        <v>2</v>
      </c>
      <c r="F85" s="11">
        <v>0</v>
      </c>
      <c r="G85" s="11">
        <v>2</v>
      </c>
      <c r="H85" s="11">
        <f>SUM(D85:G85)</f>
        <v>4</v>
      </c>
    </row>
    <row r="86" spans="1:8" x14ac:dyDescent="0.2">
      <c r="B86" s="25" t="s">
        <v>51</v>
      </c>
      <c r="C86" s="26" t="s">
        <v>45</v>
      </c>
      <c r="D86" s="21">
        <v>6.15</v>
      </c>
      <c r="E86" s="21">
        <v>3.49</v>
      </c>
      <c r="F86" s="21">
        <v>5.51</v>
      </c>
      <c r="G86" s="21">
        <v>5.15</v>
      </c>
      <c r="H86" s="38">
        <v>21.3</v>
      </c>
    </row>
    <row r="87" spans="1:8" x14ac:dyDescent="0.2">
      <c r="B87" s="27"/>
      <c r="C87" s="22" t="s">
        <v>77</v>
      </c>
      <c r="D87" s="44">
        <v>4.32</v>
      </c>
      <c r="E87" s="44">
        <v>5.43</v>
      </c>
      <c r="F87" s="44">
        <v>3.56</v>
      </c>
      <c r="G87" s="44">
        <v>4.26</v>
      </c>
      <c r="H87" s="45">
        <v>18.37</v>
      </c>
    </row>
    <row r="89" spans="1:8" x14ac:dyDescent="0.2">
      <c r="A89" s="24">
        <v>43164</v>
      </c>
      <c r="C89" s="13" t="s">
        <v>45</v>
      </c>
      <c r="D89" s="11">
        <v>6</v>
      </c>
      <c r="E89" s="11">
        <v>1</v>
      </c>
      <c r="F89" s="11">
        <v>3</v>
      </c>
      <c r="G89" s="11">
        <v>4</v>
      </c>
      <c r="H89" s="11">
        <f>SUM(D89:G89)</f>
        <v>14</v>
      </c>
    </row>
    <row r="90" spans="1:8" x14ac:dyDescent="0.2">
      <c r="A90" s="11" t="s">
        <v>101</v>
      </c>
      <c r="C90" s="13" t="s">
        <v>82</v>
      </c>
      <c r="D90" s="11">
        <v>1</v>
      </c>
      <c r="E90" s="11">
        <v>3</v>
      </c>
      <c r="F90" s="11">
        <v>0</v>
      </c>
      <c r="G90" s="11">
        <v>1</v>
      </c>
      <c r="H90" s="11">
        <f>SUM(D90:G90)</f>
        <v>5</v>
      </c>
    </row>
    <row r="91" spans="1:8" x14ac:dyDescent="0.2">
      <c r="B91" s="25" t="s">
        <v>51</v>
      </c>
      <c r="C91" s="26" t="s">
        <v>52</v>
      </c>
      <c r="D91" s="21">
        <v>6.54</v>
      </c>
      <c r="E91" s="21">
        <v>4.0599999999999996</v>
      </c>
      <c r="F91" s="21">
        <v>5.59</v>
      </c>
      <c r="G91" s="21">
        <v>6.05</v>
      </c>
      <c r="H91" s="46">
        <v>23.04</v>
      </c>
    </row>
    <row r="92" spans="1:8" x14ac:dyDescent="0.2">
      <c r="B92" s="27"/>
      <c r="C92" s="22" t="s">
        <v>82</v>
      </c>
      <c r="D92" s="44">
        <v>3.43</v>
      </c>
      <c r="E92" s="44">
        <v>4.47</v>
      </c>
      <c r="F92" s="44">
        <v>4.12</v>
      </c>
      <c r="G92" s="44">
        <v>3.15</v>
      </c>
      <c r="H92" s="45">
        <v>15.57</v>
      </c>
    </row>
    <row r="94" spans="1:8" x14ac:dyDescent="0.2">
      <c r="A94" s="24">
        <v>43166</v>
      </c>
      <c r="C94" s="13" t="s">
        <v>45</v>
      </c>
      <c r="D94" s="11">
        <v>2</v>
      </c>
      <c r="E94" s="11">
        <v>1</v>
      </c>
      <c r="F94" s="11">
        <v>5</v>
      </c>
      <c r="G94" s="11">
        <v>1</v>
      </c>
      <c r="H94" s="11">
        <f>SUM(D94:G94)</f>
        <v>9</v>
      </c>
    </row>
    <row r="95" spans="1:8" x14ac:dyDescent="0.2">
      <c r="A95" s="11" t="s">
        <v>101</v>
      </c>
      <c r="C95" s="13" t="s">
        <v>78</v>
      </c>
      <c r="D95" s="11">
        <v>0</v>
      </c>
      <c r="E95" s="11">
        <v>0</v>
      </c>
      <c r="F95" s="11">
        <v>0</v>
      </c>
      <c r="G95" s="11">
        <v>0</v>
      </c>
      <c r="H95" s="11">
        <f>SUM(D95:G95)</f>
        <v>0</v>
      </c>
    </row>
    <row r="96" spans="1:8" x14ac:dyDescent="0.2">
      <c r="B96" s="25" t="s">
        <v>51</v>
      </c>
      <c r="C96" s="26" t="s">
        <v>52</v>
      </c>
      <c r="D96" s="21">
        <v>6.35</v>
      </c>
      <c r="E96" s="21">
        <v>5.1100000000000003</v>
      </c>
      <c r="F96" s="21">
        <v>4.25</v>
      </c>
      <c r="G96" s="47">
        <v>3.5</v>
      </c>
      <c r="H96" s="46">
        <v>20.010000000000002</v>
      </c>
    </row>
    <row r="97" spans="1:9" x14ac:dyDescent="0.2">
      <c r="B97" s="27"/>
      <c r="C97" s="22" t="s">
        <v>78</v>
      </c>
      <c r="D97" s="44">
        <v>4.18</v>
      </c>
      <c r="E97" s="44">
        <v>5.46</v>
      </c>
      <c r="F97" s="48">
        <v>4.0999999999999996</v>
      </c>
      <c r="G97" s="48">
        <v>6.1</v>
      </c>
      <c r="H97" s="45">
        <v>20.239999999999998</v>
      </c>
    </row>
    <row r="99" spans="1:9" x14ac:dyDescent="0.2">
      <c r="A99" s="24">
        <v>43168</v>
      </c>
      <c r="C99" s="13" t="s">
        <v>45</v>
      </c>
      <c r="D99" s="11">
        <v>6</v>
      </c>
      <c r="E99" s="11">
        <v>2</v>
      </c>
      <c r="F99" s="11">
        <v>3</v>
      </c>
      <c r="G99" s="11">
        <v>2</v>
      </c>
      <c r="H99" s="11">
        <f>SUM(D99:G99)</f>
        <v>13</v>
      </c>
    </row>
    <row r="100" spans="1:9" x14ac:dyDescent="0.2">
      <c r="A100" s="11" t="s">
        <v>101</v>
      </c>
      <c r="C100" s="13" t="s">
        <v>83</v>
      </c>
      <c r="D100" s="11">
        <v>0</v>
      </c>
      <c r="E100" s="11">
        <v>1</v>
      </c>
      <c r="F100" s="11">
        <v>1</v>
      </c>
      <c r="G100" s="11">
        <v>2</v>
      </c>
      <c r="H100" s="11">
        <f>SUM(D100:G100)</f>
        <v>4</v>
      </c>
    </row>
    <row r="101" spans="1:9" x14ac:dyDescent="0.2">
      <c r="B101" s="25" t="s">
        <v>51</v>
      </c>
      <c r="C101" s="26" t="s">
        <v>52</v>
      </c>
      <c r="D101" s="21">
        <v>6.01</v>
      </c>
      <c r="E101" s="21">
        <v>5.16</v>
      </c>
      <c r="F101" s="21">
        <v>5.23</v>
      </c>
      <c r="G101" s="21">
        <v>5.53</v>
      </c>
      <c r="H101" s="46">
        <v>22.33</v>
      </c>
    </row>
    <row r="102" spans="1:9" x14ac:dyDescent="0.2">
      <c r="B102" s="27"/>
      <c r="C102" s="22" t="s">
        <v>83</v>
      </c>
      <c r="D102" s="44">
        <v>3.57</v>
      </c>
      <c r="E102" s="44">
        <v>5.0599999999999996</v>
      </c>
      <c r="F102" s="44">
        <v>5.05</v>
      </c>
      <c r="G102" s="44">
        <v>5.07</v>
      </c>
      <c r="H102" s="45">
        <v>19.149999999999999</v>
      </c>
    </row>
    <row r="103" spans="1:9" x14ac:dyDescent="0.2">
      <c r="I103" s="11"/>
    </row>
    <row r="104" spans="1:9" x14ac:dyDescent="0.2">
      <c r="A104" s="24">
        <v>43178</v>
      </c>
      <c r="C104" s="13" t="s">
        <v>45</v>
      </c>
      <c r="D104" s="11">
        <v>1</v>
      </c>
      <c r="E104" s="11">
        <v>2</v>
      </c>
      <c r="F104" s="11">
        <v>3</v>
      </c>
      <c r="G104" s="11">
        <v>2</v>
      </c>
      <c r="H104" s="11">
        <f>SUM(D104:G104)</f>
        <v>8</v>
      </c>
    </row>
    <row r="105" spans="1:9" x14ac:dyDescent="0.2">
      <c r="C105" s="13" t="s">
        <v>103</v>
      </c>
      <c r="D105" s="11">
        <v>2</v>
      </c>
      <c r="E105" s="11">
        <v>1</v>
      </c>
      <c r="F105" s="11">
        <v>2</v>
      </c>
      <c r="G105" s="11">
        <v>2</v>
      </c>
      <c r="H105" s="11">
        <f>SUM(D105:G105)</f>
        <v>7</v>
      </c>
    </row>
    <row r="106" spans="1:9" x14ac:dyDescent="0.2">
      <c r="B106" s="25" t="s">
        <v>51</v>
      </c>
      <c r="C106" s="26" t="s">
        <v>52</v>
      </c>
      <c r="D106" s="21">
        <v>5.21</v>
      </c>
      <c r="E106" s="21">
        <v>5.32</v>
      </c>
      <c r="F106" s="21">
        <v>3.03</v>
      </c>
      <c r="G106" s="21">
        <v>3.32</v>
      </c>
      <c r="H106" s="46">
        <v>17.28</v>
      </c>
    </row>
    <row r="107" spans="1:9" x14ac:dyDescent="0.2">
      <c r="B107" s="27"/>
      <c r="C107" s="22" t="s">
        <v>103</v>
      </c>
      <c r="D107" s="44">
        <v>3.58</v>
      </c>
      <c r="E107" s="44">
        <v>5.07</v>
      </c>
      <c r="F107" s="44">
        <v>6.21</v>
      </c>
      <c r="G107" s="44">
        <v>4.37</v>
      </c>
      <c r="H107" s="45">
        <v>20.03</v>
      </c>
    </row>
    <row r="108" spans="1:9" x14ac:dyDescent="0.2">
      <c r="I108" s="11"/>
    </row>
    <row r="109" spans="1:9" x14ac:dyDescent="0.2">
      <c r="A109" s="24">
        <v>43182</v>
      </c>
      <c r="C109" s="13" t="s">
        <v>45</v>
      </c>
      <c r="D109" s="11">
        <v>2</v>
      </c>
      <c r="E109" s="11">
        <v>2</v>
      </c>
      <c r="F109" s="11">
        <v>0</v>
      </c>
      <c r="G109" s="11">
        <v>3</v>
      </c>
      <c r="H109" s="11">
        <f>SUM(D109:G109)</f>
        <v>7</v>
      </c>
      <c r="I109" s="11"/>
    </row>
    <row r="110" spans="1:9" x14ac:dyDescent="0.2">
      <c r="C110" s="13" t="s">
        <v>104</v>
      </c>
      <c r="D110" s="11">
        <v>3</v>
      </c>
      <c r="E110" s="11">
        <v>3</v>
      </c>
      <c r="F110" s="11">
        <v>3</v>
      </c>
      <c r="G110" s="11">
        <v>3</v>
      </c>
      <c r="H110" s="11">
        <f>SUM(D110:G110)+I110</f>
        <v>12</v>
      </c>
      <c r="I110" s="11"/>
    </row>
    <row r="111" spans="1:9" x14ac:dyDescent="0.2">
      <c r="B111" s="25" t="s">
        <v>51</v>
      </c>
      <c r="C111" s="26" t="s">
        <v>52</v>
      </c>
      <c r="D111" s="47">
        <v>5.19</v>
      </c>
      <c r="E111" s="47">
        <v>4.08</v>
      </c>
      <c r="F111" s="47">
        <v>4.49</v>
      </c>
      <c r="G111" s="47">
        <v>4.45</v>
      </c>
      <c r="H111" s="38">
        <v>19.010000000000002</v>
      </c>
      <c r="I111" s="11"/>
    </row>
    <row r="112" spans="1:9" x14ac:dyDescent="0.2">
      <c r="B112" s="27"/>
      <c r="C112" s="22" t="s">
        <v>104</v>
      </c>
      <c r="D112" s="48">
        <v>4.5</v>
      </c>
      <c r="E112" s="48">
        <v>4.0599999999999996</v>
      </c>
      <c r="F112" s="48">
        <v>4.21</v>
      </c>
      <c r="G112" s="48">
        <v>4.05</v>
      </c>
      <c r="H112" s="39">
        <v>17.22</v>
      </c>
      <c r="I112" s="40"/>
    </row>
    <row r="114" spans="1:10" x14ac:dyDescent="0.2">
      <c r="A114" s="24">
        <v>43186</v>
      </c>
      <c r="C114" s="13" t="s">
        <v>45</v>
      </c>
      <c r="D114" s="11">
        <v>1</v>
      </c>
      <c r="E114" s="11">
        <v>3</v>
      </c>
      <c r="F114" s="11">
        <v>7</v>
      </c>
      <c r="G114" s="11">
        <v>1</v>
      </c>
      <c r="H114" s="11">
        <f>SUM(D114:G114)</f>
        <v>12</v>
      </c>
    </row>
    <row r="115" spans="1:10" x14ac:dyDescent="0.2">
      <c r="C115" s="13" t="s">
        <v>77</v>
      </c>
      <c r="D115" s="11">
        <v>2</v>
      </c>
      <c r="E115" s="11">
        <v>0</v>
      </c>
      <c r="F115" s="11">
        <v>0</v>
      </c>
      <c r="G115" s="11">
        <v>2</v>
      </c>
      <c r="H115" s="11">
        <f>SUM(D115:G115)</f>
        <v>4</v>
      </c>
    </row>
    <row r="116" spans="1:10" x14ac:dyDescent="0.2">
      <c r="B116" s="25" t="s">
        <v>51</v>
      </c>
      <c r="C116" s="26" t="s">
        <v>52</v>
      </c>
      <c r="D116" s="47">
        <v>5.17</v>
      </c>
      <c r="E116" s="47">
        <v>6.59</v>
      </c>
      <c r="F116" s="47">
        <v>7.53</v>
      </c>
      <c r="G116" s="47">
        <v>6.05</v>
      </c>
      <c r="H116" s="38">
        <v>26.14</v>
      </c>
    </row>
    <row r="117" spans="1:10" x14ac:dyDescent="0.2">
      <c r="B117" s="27"/>
      <c r="C117" s="22" t="s">
        <v>77</v>
      </c>
      <c r="D117" s="48">
        <v>5.0999999999999996</v>
      </c>
      <c r="E117" s="48">
        <v>4.03</v>
      </c>
      <c r="F117" s="48">
        <v>1.53</v>
      </c>
      <c r="G117" s="48">
        <v>4.1100000000000003</v>
      </c>
      <c r="H117" s="39">
        <v>15.17</v>
      </c>
    </row>
    <row r="118" spans="1:10" x14ac:dyDescent="0.2">
      <c r="I118" s="29"/>
    </row>
    <row r="119" spans="1:10" x14ac:dyDescent="0.2">
      <c r="A119" s="24"/>
      <c r="C119" s="13" t="s">
        <v>45</v>
      </c>
      <c r="D119" s="11">
        <v>4</v>
      </c>
      <c r="E119" s="11">
        <v>2</v>
      </c>
      <c r="F119" s="11">
        <v>1</v>
      </c>
      <c r="G119" s="11">
        <v>7</v>
      </c>
      <c r="H119" s="11">
        <f>SUM(D119:G119)</f>
        <v>14</v>
      </c>
      <c r="I119" s="11"/>
      <c r="J119" s="11"/>
    </row>
    <row r="120" spans="1:10" x14ac:dyDescent="0.2">
      <c r="A120" s="24">
        <v>43187</v>
      </c>
      <c r="C120" s="13" t="s">
        <v>105</v>
      </c>
      <c r="D120" s="11">
        <v>1</v>
      </c>
      <c r="E120" s="11">
        <v>3</v>
      </c>
      <c r="F120" s="11">
        <v>0</v>
      </c>
      <c r="G120" s="11">
        <v>1</v>
      </c>
      <c r="H120" s="11">
        <f>SUM(D120:G120)</f>
        <v>5</v>
      </c>
    </row>
    <row r="121" spans="1:10" x14ac:dyDescent="0.2">
      <c r="B121" s="25" t="s">
        <v>51</v>
      </c>
      <c r="C121" s="26" t="s">
        <v>45</v>
      </c>
      <c r="D121" s="47">
        <v>4.41</v>
      </c>
      <c r="E121" s="47">
        <v>3.15</v>
      </c>
      <c r="F121" s="47">
        <v>6.15</v>
      </c>
      <c r="G121" s="47">
        <v>5.2</v>
      </c>
      <c r="H121" s="38">
        <v>19.309999999999999</v>
      </c>
    </row>
    <row r="122" spans="1:10" x14ac:dyDescent="0.2">
      <c r="B122" s="27"/>
      <c r="C122" s="22" t="s">
        <v>105</v>
      </c>
      <c r="D122" s="48">
        <v>3.23</v>
      </c>
      <c r="E122" s="48">
        <v>6.12</v>
      </c>
      <c r="F122" s="48">
        <v>2.58</v>
      </c>
      <c r="G122" s="48">
        <v>2.31</v>
      </c>
      <c r="H122" s="39">
        <v>14.54</v>
      </c>
    </row>
    <row r="124" spans="1:10" x14ac:dyDescent="0.2">
      <c r="A124" s="24">
        <v>43199</v>
      </c>
      <c r="C124" s="13" t="s">
        <v>45</v>
      </c>
      <c r="D124" s="11">
        <v>8</v>
      </c>
      <c r="E124" s="11">
        <v>3</v>
      </c>
      <c r="F124" s="11">
        <v>6</v>
      </c>
      <c r="G124" s="11">
        <v>2</v>
      </c>
      <c r="H124" s="11">
        <f>SUM(D124:G124)</f>
        <v>19</v>
      </c>
    </row>
    <row r="125" spans="1:10" x14ac:dyDescent="0.2">
      <c r="C125" s="13" t="s">
        <v>84</v>
      </c>
      <c r="D125" s="11">
        <v>1</v>
      </c>
      <c r="E125" s="11">
        <v>0</v>
      </c>
      <c r="F125" s="11">
        <v>0</v>
      </c>
      <c r="G125" s="11">
        <v>2</v>
      </c>
      <c r="H125" s="11">
        <f>SUM(D125:G125)</f>
        <v>3</v>
      </c>
    </row>
    <row r="126" spans="1:10" x14ac:dyDescent="0.2">
      <c r="B126" s="25" t="s">
        <v>51</v>
      </c>
      <c r="C126" s="26" t="s">
        <v>52</v>
      </c>
      <c r="D126" s="47">
        <v>7.45</v>
      </c>
      <c r="E126" s="47">
        <v>7.57</v>
      </c>
      <c r="F126" s="47">
        <v>3.36</v>
      </c>
      <c r="G126" s="47">
        <v>3.13</v>
      </c>
      <c r="H126" s="38">
        <v>22.31</v>
      </c>
    </row>
    <row r="127" spans="1:10" x14ac:dyDescent="0.2">
      <c r="B127" s="27"/>
      <c r="C127" s="22" t="s">
        <v>84</v>
      </c>
      <c r="D127" s="48">
        <v>1.41</v>
      </c>
      <c r="E127" s="48">
        <v>1.1499999999999999</v>
      </c>
      <c r="F127" s="48">
        <v>1.18</v>
      </c>
      <c r="G127" s="48">
        <v>1.2</v>
      </c>
      <c r="H127" s="39">
        <v>5.34</v>
      </c>
    </row>
    <row r="129" spans="1:8" x14ac:dyDescent="0.2">
      <c r="A129" s="24">
        <v>43200</v>
      </c>
      <c r="C129" s="13" t="s">
        <v>45</v>
      </c>
      <c r="D129" s="11">
        <v>6</v>
      </c>
      <c r="E129" s="11">
        <v>6</v>
      </c>
      <c r="F129" s="11">
        <v>2</v>
      </c>
      <c r="G129" s="11">
        <v>2</v>
      </c>
      <c r="H129" s="11">
        <f>SUM(D129:G129)</f>
        <v>16</v>
      </c>
    </row>
    <row r="130" spans="1:8" x14ac:dyDescent="0.2">
      <c r="C130" s="13" t="s">
        <v>78</v>
      </c>
      <c r="D130" s="11">
        <v>0</v>
      </c>
      <c r="E130" s="11">
        <v>1</v>
      </c>
      <c r="F130" s="11">
        <v>0</v>
      </c>
      <c r="G130" s="11">
        <v>0</v>
      </c>
      <c r="H130" s="11">
        <f>SUM(D130:G130)</f>
        <v>1</v>
      </c>
    </row>
    <row r="131" spans="1:8" x14ac:dyDescent="0.2">
      <c r="B131" s="25" t="s">
        <v>51</v>
      </c>
      <c r="C131" s="26" t="s">
        <v>52</v>
      </c>
      <c r="D131" s="47">
        <v>6.39</v>
      </c>
      <c r="E131" s="47">
        <v>5.3</v>
      </c>
      <c r="F131" s="47">
        <v>3.2</v>
      </c>
      <c r="G131" s="47">
        <v>4.57</v>
      </c>
      <c r="H131" s="38">
        <v>20.260000000000002</v>
      </c>
    </row>
    <row r="132" spans="1:8" x14ac:dyDescent="0.2">
      <c r="B132" s="27"/>
      <c r="C132" s="22" t="s">
        <v>78</v>
      </c>
      <c r="D132" s="48">
        <v>2.5099999999999998</v>
      </c>
      <c r="E132" s="48">
        <v>2.08</v>
      </c>
      <c r="F132" s="48">
        <v>3.12</v>
      </c>
      <c r="G132" s="48">
        <v>1.5</v>
      </c>
      <c r="H132" s="39">
        <v>10.01</v>
      </c>
    </row>
    <row r="134" spans="1:8" x14ac:dyDescent="0.2">
      <c r="A134" s="24">
        <v>43203</v>
      </c>
      <c r="C134" s="13" t="s">
        <v>45</v>
      </c>
      <c r="D134" s="11">
        <v>5</v>
      </c>
      <c r="E134" s="11">
        <v>5</v>
      </c>
      <c r="F134" s="11">
        <v>2</v>
      </c>
      <c r="G134" s="11">
        <v>3</v>
      </c>
      <c r="H134" s="11">
        <f>SUM(D134:G134)</f>
        <v>15</v>
      </c>
    </row>
    <row r="135" spans="1:8" x14ac:dyDescent="0.2">
      <c r="C135" s="13" t="s">
        <v>83</v>
      </c>
      <c r="D135" s="11">
        <v>0</v>
      </c>
      <c r="E135" s="11">
        <v>0</v>
      </c>
      <c r="F135" s="11">
        <v>0</v>
      </c>
      <c r="G135" s="11">
        <v>0</v>
      </c>
      <c r="H135" s="11">
        <f>SUM(D135:G135)</f>
        <v>0</v>
      </c>
    </row>
    <row r="136" spans="1:8" x14ac:dyDescent="0.2">
      <c r="B136" s="25" t="s">
        <v>51</v>
      </c>
      <c r="C136" s="26" t="s">
        <v>52</v>
      </c>
      <c r="D136" s="47">
        <v>4.25</v>
      </c>
      <c r="E136" s="47">
        <v>5.5</v>
      </c>
      <c r="F136" s="47">
        <v>3.29</v>
      </c>
      <c r="G136" s="47">
        <v>2.19</v>
      </c>
      <c r="H136" s="38">
        <v>16.03</v>
      </c>
    </row>
    <row r="137" spans="1:8" x14ac:dyDescent="0.2">
      <c r="B137" s="27"/>
      <c r="C137" s="22" t="s">
        <v>83</v>
      </c>
      <c r="D137" s="48">
        <v>3.05</v>
      </c>
      <c r="E137" s="48">
        <v>3.14</v>
      </c>
      <c r="F137" s="48">
        <v>3.53</v>
      </c>
      <c r="G137" s="48">
        <v>1.47</v>
      </c>
      <c r="H137" s="39">
        <v>11.59</v>
      </c>
    </row>
    <row r="139" spans="1:8" x14ac:dyDescent="0.2">
      <c r="A139" s="24">
        <v>43207</v>
      </c>
      <c r="C139" s="13" t="s">
        <v>45</v>
      </c>
      <c r="D139" s="11">
        <v>4</v>
      </c>
      <c r="E139" s="11">
        <v>6</v>
      </c>
      <c r="F139" s="11">
        <v>1</v>
      </c>
      <c r="G139" s="11">
        <v>8</v>
      </c>
      <c r="H139" s="11">
        <f>SUM(D139:G139)</f>
        <v>19</v>
      </c>
    </row>
    <row r="140" spans="1:8" x14ac:dyDescent="0.2">
      <c r="C140" s="13" t="s">
        <v>84</v>
      </c>
      <c r="D140" s="11">
        <v>0</v>
      </c>
      <c r="E140" s="11">
        <v>0</v>
      </c>
      <c r="F140" s="11">
        <v>3</v>
      </c>
      <c r="G140" s="11">
        <v>0</v>
      </c>
      <c r="H140" s="11">
        <f>SUM(D140:G140)</f>
        <v>3</v>
      </c>
    </row>
    <row r="141" spans="1:8" x14ac:dyDescent="0.2">
      <c r="B141" s="25" t="s">
        <v>51</v>
      </c>
      <c r="C141" s="26" t="s">
        <v>52</v>
      </c>
      <c r="D141" s="21">
        <v>7.06</v>
      </c>
      <c r="E141" s="21">
        <v>5.31</v>
      </c>
      <c r="F141" s="21">
        <v>6.23</v>
      </c>
      <c r="G141" s="21">
        <v>5.54</v>
      </c>
      <c r="H141" s="46">
        <v>24.54</v>
      </c>
    </row>
    <row r="142" spans="1:8" x14ac:dyDescent="0.2">
      <c r="B142" s="27"/>
      <c r="C142" s="22" t="s">
        <v>84</v>
      </c>
      <c r="D142" s="44">
        <v>2.04</v>
      </c>
      <c r="E142" s="44">
        <v>2.13</v>
      </c>
      <c r="F142" s="44">
        <v>2.42</v>
      </c>
      <c r="G142" s="44">
        <v>0.42</v>
      </c>
      <c r="H142" s="45">
        <v>7.41</v>
      </c>
    </row>
    <row r="144" spans="1:8" x14ac:dyDescent="0.2">
      <c r="A144" s="24">
        <v>43209</v>
      </c>
      <c r="C144" s="13" t="s">
        <v>45</v>
      </c>
      <c r="D144" s="11">
        <v>1</v>
      </c>
      <c r="E144" s="11">
        <v>1</v>
      </c>
      <c r="F144" s="11">
        <v>0</v>
      </c>
      <c r="G144" s="11">
        <v>2</v>
      </c>
      <c r="H144" s="11">
        <f>SUM(D144:G144)</f>
        <v>4</v>
      </c>
    </row>
    <row r="145" spans="1:8" x14ac:dyDescent="0.2">
      <c r="C145" s="13" t="s">
        <v>107</v>
      </c>
      <c r="D145" s="11">
        <v>0</v>
      </c>
      <c r="E145" s="11">
        <v>4</v>
      </c>
      <c r="F145" s="11">
        <v>5</v>
      </c>
      <c r="G145" s="11">
        <v>3</v>
      </c>
      <c r="H145" s="11">
        <f>SUM(D145:G145)</f>
        <v>12</v>
      </c>
    </row>
    <row r="146" spans="1:8" x14ac:dyDescent="0.2">
      <c r="B146" s="25" t="s">
        <v>51</v>
      </c>
      <c r="C146" s="26" t="s">
        <v>52</v>
      </c>
      <c r="D146" s="47">
        <v>5.47</v>
      </c>
      <c r="E146" s="47">
        <v>3.26</v>
      </c>
      <c r="F146" s="47">
        <v>2.21</v>
      </c>
      <c r="G146" s="47">
        <v>4.3899999999999997</v>
      </c>
      <c r="H146" s="38">
        <v>16.13</v>
      </c>
    </row>
    <row r="147" spans="1:8" x14ac:dyDescent="0.2">
      <c r="B147" s="27"/>
      <c r="C147" s="22" t="s">
        <v>107</v>
      </c>
      <c r="D147" s="48">
        <v>3.59</v>
      </c>
      <c r="E147" s="48">
        <v>4.5599999999999996</v>
      </c>
      <c r="F147" s="48">
        <v>5</v>
      </c>
      <c r="G147" s="48">
        <v>3.26</v>
      </c>
      <c r="H147" s="39">
        <v>17.21</v>
      </c>
    </row>
    <row r="148" spans="1:8" x14ac:dyDescent="0.2">
      <c r="F148" s="41"/>
    </row>
    <row r="149" spans="1:8" x14ac:dyDescent="0.2">
      <c r="A149" s="24"/>
      <c r="C149" s="13" t="s">
        <v>45</v>
      </c>
      <c r="D149" s="11">
        <v>1</v>
      </c>
      <c r="E149" s="11">
        <v>1</v>
      </c>
      <c r="F149" s="11">
        <v>0</v>
      </c>
      <c r="G149" s="11">
        <v>3</v>
      </c>
      <c r="H149" s="11">
        <f>SUM(D149:G149)</f>
        <v>5</v>
      </c>
    </row>
    <row r="150" spans="1:8" x14ac:dyDescent="0.2">
      <c r="A150" s="24">
        <v>43211</v>
      </c>
      <c r="C150" s="13" t="s">
        <v>108</v>
      </c>
      <c r="D150" s="11">
        <v>2</v>
      </c>
      <c r="E150" s="11">
        <v>5</v>
      </c>
      <c r="F150" s="11">
        <v>4</v>
      </c>
      <c r="G150" s="11">
        <v>4</v>
      </c>
      <c r="H150" s="11">
        <f>SUM(D150:G150)</f>
        <v>15</v>
      </c>
    </row>
    <row r="151" spans="1:8" x14ac:dyDescent="0.2">
      <c r="B151" s="25" t="s">
        <v>51</v>
      </c>
      <c r="C151" s="26" t="s">
        <v>52</v>
      </c>
      <c r="D151" s="21">
        <v>4.0599999999999996</v>
      </c>
      <c r="E151" s="21">
        <v>4.12</v>
      </c>
      <c r="F151" s="21">
        <v>4.0599999999999996</v>
      </c>
      <c r="G151" s="21">
        <v>2.5499999999999998</v>
      </c>
      <c r="H151" s="46">
        <v>15.19</v>
      </c>
    </row>
    <row r="152" spans="1:8" x14ac:dyDescent="0.2">
      <c r="B152" s="27"/>
      <c r="C152" s="22" t="s">
        <v>108</v>
      </c>
      <c r="D152" s="44">
        <v>5.15</v>
      </c>
      <c r="E152" s="44">
        <v>5.24</v>
      </c>
      <c r="F152" s="44">
        <v>5.45</v>
      </c>
      <c r="G152" s="44">
        <v>5.05</v>
      </c>
      <c r="H152" s="45">
        <v>21.29</v>
      </c>
    </row>
    <row r="154" spans="1:8" x14ac:dyDescent="0.2">
      <c r="A154" s="24">
        <v>43215</v>
      </c>
      <c r="C154" s="13" t="s">
        <v>45</v>
      </c>
      <c r="D154" s="11">
        <v>2</v>
      </c>
      <c r="E154" s="11">
        <v>0</v>
      </c>
      <c r="F154" s="11">
        <v>7</v>
      </c>
      <c r="G154" s="11">
        <v>0</v>
      </c>
      <c r="H154" s="11">
        <f>SUM(D154:G154)</f>
        <v>9</v>
      </c>
    </row>
    <row r="155" spans="1:8" x14ac:dyDescent="0.2">
      <c r="C155" s="13" t="s">
        <v>103</v>
      </c>
      <c r="D155" s="11">
        <v>3</v>
      </c>
      <c r="E155" s="11">
        <v>3</v>
      </c>
      <c r="F155" s="11">
        <v>2</v>
      </c>
      <c r="G155" s="11">
        <v>2</v>
      </c>
      <c r="H155" s="11">
        <f>SUM(D155:G155)</f>
        <v>10</v>
      </c>
    </row>
    <row r="156" spans="1:8" x14ac:dyDescent="0.2">
      <c r="B156" s="25" t="s">
        <v>51</v>
      </c>
      <c r="C156" s="26" t="s">
        <v>52</v>
      </c>
      <c r="D156" s="47">
        <v>3.58</v>
      </c>
      <c r="E156" s="47">
        <v>4.24</v>
      </c>
      <c r="F156" s="47">
        <v>4.0999999999999996</v>
      </c>
      <c r="G156" s="47">
        <v>4.1500000000000004</v>
      </c>
      <c r="H156" s="38">
        <v>16.47</v>
      </c>
    </row>
    <row r="157" spans="1:8" x14ac:dyDescent="0.2">
      <c r="B157" s="27"/>
      <c r="C157" s="22" t="s">
        <v>103</v>
      </c>
      <c r="D157" s="48">
        <v>4.26</v>
      </c>
      <c r="E157" s="48">
        <v>4.1500000000000004</v>
      </c>
      <c r="F157" s="48">
        <v>2.5499999999999998</v>
      </c>
      <c r="G157" s="48">
        <v>4.26</v>
      </c>
      <c r="H157" s="39">
        <v>16.02</v>
      </c>
    </row>
    <row r="159" spans="1:8" x14ac:dyDescent="0.2">
      <c r="A159" s="24">
        <v>43217</v>
      </c>
      <c r="C159" s="13" t="s">
        <v>45</v>
      </c>
      <c r="D159" s="11">
        <v>1</v>
      </c>
      <c r="E159" s="11">
        <v>2</v>
      </c>
      <c r="F159" s="11">
        <v>2</v>
      </c>
      <c r="G159" s="11">
        <v>1</v>
      </c>
      <c r="H159" s="11">
        <f>SUM(D159:G159)</f>
        <v>6</v>
      </c>
    </row>
    <row r="160" spans="1:8" x14ac:dyDescent="0.2">
      <c r="C160" s="13" t="s">
        <v>104</v>
      </c>
      <c r="D160" s="11">
        <v>4</v>
      </c>
      <c r="E160" s="11">
        <v>6</v>
      </c>
      <c r="F160" s="11">
        <v>6</v>
      </c>
      <c r="G160" s="11">
        <v>4</v>
      </c>
      <c r="H160" s="11">
        <f>SUM(D160:G160)</f>
        <v>20</v>
      </c>
    </row>
    <row r="161" spans="1:8" x14ac:dyDescent="0.2">
      <c r="B161" s="25" t="s">
        <v>51</v>
      </c>
      <c r="C161" s="26" t="s">
        <v>52</v>
      </c>
      <c r="D161" s="47">
        <v>5.01</v>
      </c>
      <c r="E161" s="47">
        <v>3.15</v>
      </c>
      <c r="F161" s="47">
        <v>2.4500000000000002</v>
      </c>
      <c r="G161" s="47">
        <v>2.23</v>
      </c>
      <c r="H161" s="38">
        <v>13.24</v>
      </c>
    </row>
    <row r="162" spans="1:8" x14ac:dyDescent="0.2">
      <c r="B162" s="27"/>
      <c r="C162" s="22" t="s">
        <v>104</v>
      </c>
      <c r="D162" s="48">
        <v>3.31</v>
      </c>
      <c r="E162" s="48">
        <v>4.47</v>
      </c>
      <c r="F162" s="48">
        <v>4.0999999999999996</v>
      </c>
      <c r="G162" s="48">
        <v>4.12</v>
      </c>
      <c r="H162" s="39">
        <v>16.399999999999999</v>
      </c>
    </row>
    <row r="164" spans="1:8" x14ac:dyDescent="0.2">
      <c r="A164" s="24">
        <v>43224</v>
      </c>
      <c r="C164" s="13" t="s">
        <v>45</v>
      </c>
      <c r="D164" s="11">
        <v>0</v>
      </c>
      <c r="E164" s="11">
        <v>1</v>
      </c>
      <c r="F164" s="11">
        <v>2</v>
      </c>
      <c r="G164" s="11">
        <v>0</v>
      </c>
      <c r="H164" s="11">
        <f>SUM(D164:G164)</f>
        <v>3</v>
      </c>
    </row>
    <row r="165" spans="1:8" x14ac:dyDescent="0.2">
      <c r="C165" s="13" t="s">
        <v>112</v>
      </c>
      <c r="D165" s="11">
        <v>9</v>
      </c>
      <c r="E165" s="11">
        <v>8</v>
      </c>
      <c r="F165" s="11">
        <v>2</v>
      </c>
      <c r="G165" s="11">
        <v>1</v>
      </c>
      <c r="H165" s="11">
        <f>SUM(D165:G165)</f>
        <v>20</v>
      </c>
    </row>
    <row r="166" spans="1:8" x14ac:dyDescent="0.2">
      <c r="B166" s="25" t="s">
        <v>51</v>
      </c>
      <c r="C166" s="26" t="s">
        <v>52</v>
      </c>
      <c r="D166" s="21">
        <v>3.42</v>
      </c>
      <c r="E166" s="21">
        <v>4.16</v>
      </c>
      <c r="F166" s="21">
        <v>2.23</v>
      </c>
      <c r="G166" s="21">
        <v>2.31</v>
      </c>
      <c r="H166" s="46">
        <v>12.52</v>
      </c>
    </row>
    <row r="167" spans="1:8" x14ac:dyDescent="0.2">
      <c r="B167" s="27"/>
      <c r="C167" s="22" t="s">
        <v>112</v>
      </c>
      <c r="D167" s="44">
        <v>5.43</v>
      </c>
      <c r="E167" s="44">
        <v>5.01</v>
      </c>
      <c r="F167" s="44">
        <v>1.57</v>
      </c>
      <c r="G167" s="44">
        <v>2.5099999999999998</v>
      </c>
      <c r="H167" s="45">
        <v>15.32</v>
      </c>
    </row>
  </sheetData>
  <sheetProtection algorithmName="SHA-512" hashValue="nM1xuF5q9rnm7WjxmIWG7uNsbQKQUSgYxmTWPjI+8Lc5CBdhJKRJEptD/zu7j4d81Pp4rknFrZ0B3yX3zB/Prw==" saltValue="OhpvWqhd1saR9IcysvyWsw==" spinCount="100000" sheet="1" objects="1" scenarios="1"/>
  <sortState ref="A3:N28">
    <sortCondition ref="B3:B28" customList="A,M,D"/>
  </sortState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twetherb</dc:creator>
  <cp:lastModifiedBy>Tom Wetherby</cp:lastModifiedBy>
  <cp:lastPrinted>2018-05-22T18:34:00Z</cp:lastPrinted>
  <dcterms:created xsi:type="dcterms:W3CDTF">2013-03-19T12:42:01Z</dcterms:created>
  <dcterms:modified xsi:type="dcterms:W3CDTF">2018-08-18T15:29:07Z</dcterms:modified>
</cp:coreProperties>
</file>