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wetherby/Documents/Lacrosse/"/>
    </mc:Choice>
  </mc:AlternateContent>
  <xr:revisionPtr revIDLastSave="0" documentId="8_{6DDD14BC-B445-E545-87A3-E19A957C04CB}" xr6:coauthVersionLast="40" xr6:coauthVersionMax="40" xr10:uidLastSave="{00000000-0000-0000-0000-000000000000}"/>
  <bookViews>
    <workbookView xWindow="1180" yWindow="1460" windowWidth="27240" windowHeight="15520" xr2:uid="{BD55606A-40A6-5041-9DE3-40015B09552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8" i="1" l="1"/>
  <c r="F69" i="1" s="1"/>
  <c r="D68" i="1"/>
  <c r="D69" i="1" s="1"/>
  <c r="K64" i="1"/>
  <c r="F64" i="1"/>
  <c r="E64" i="1"/>
  <c r="G64" i="1" s="1"/>
  <c r="K62" i="1"/>
  <c r="F61" i="1"/>
  <c r="E61" i="1"/>
  <c r="G61" i="1" s="1"/>
  <c r="L60" i="1"/>
  <c r="F58" i="1"/>
  <c r="E58" i="1"/>
  <c r="G58" i="1" s="1"/>
  <c r="F55" i="1"/>
  <c r="E55" i="1"/>
  <c r="G55" i="1" s="1"/>
  <c r="M52" i="1"/>
  <c r="L52" i="1"/>
  <c r="F52" i="1"/>
  <c r="G52" i="1" s="1"/>
  <c r="E52" i="1"/>
  <c r="F51" i="1"/>
  <c r="H51" i="1" s="1"/>
  <c r="E51" i="1"/>
  <c r="O41" i="1"/>
  <c r="N41" i="1"/>
  <c r="M41" i="1"/>
  <c r="O39" i="1"/>
  <c r="M39" i="1"/>
  <c r="I39" i="1"/>
  <c r="G39" i="1"/>
  <c r="F39" i="1"/>
  <c r="H39" i="1" s="1"/>
  <c r="E39" i="1"/>
  <c r="O38" i="1"/>
  <c r="M38" i="1"/>
  <c r="I38" i="1"/>
  <c r="G38" i="1"/>
  <c r="F38" i="1"/>
  <c r="H38" i="1" s="1"/>
  <c r="E38" i="1"/>
  <c r="O32" i="1"/>
  <c r="I32" i="1"/>
  <c r="G32" i="1"/>
  <c r="F32" i="1"/>
  <c r="H32" i="1" s="1"/>
  <c r="E32" i="1"/>
  <c r="O31" i="1"/>
  <c r="I31" i="1"/>
  <c r="H31" i="1"/>
  <c r="G31" i="1"/>
  <c r="F31" i="1"/>
  <c r="E31" i="1"/>
  <c r="O30" i="1"/>
  <c r="I30" i="1"/>
  <c r="G30" i="1"/>
  <c r="H30" i="1" s="1"/>
  <c r="F30" i="1"/>
  <c r="E30" i="1"/>
  <c r="O29" i="1"/>
  <c r="N29" i="1"/>
  <c r="M29" i="1"/>
  <c r="I29" i="1"/>
  <c r="G29" i="1"/>
  <c r="H29" i="1" s="1"/>
  <c r="F29" i="1"/>
  <c r="E29" i="1"/>
  <c r="O28" i="1"/>
  <c r="N28" i="1"/>
  <c r="M28" i="1"/>
  <c r="I28" i="1"/>
  <c r="G28" i="1"/>
  <c r="H28" i="1" s="1"/>
  <c r="F28" i="1"/>
  <c r="E28" i="1"/>
  <c r="O27" i="1"/>
  <c r="N27" i="1"/>
  <c r="M27" i="1"/>
  <c r="I27" i="1"/>
  <c r="G27" i="1"/>
  <c r="H27" i="1" s="1"/>
  <c r="F27" i="1"/>
  <c r="E27" i="1"/>
  <c r="O26" i="1"/>
  <c r="I26" i="1"/>
  <c r="G26" i="1"/>
  <c r="F26" i="1"/>
  <c r="H26" i="1" s="1"/>
  <c r="E26" i="1"/>
  <c r="O25" i="1"/>
  <c r="I25" i="1"/>
  <c r="G25" i="1"/>
  <c r="F25" i="1"/>
  <c r="H25" i="1" s="1"/>
  <c r="E25" i="1"/>
  <c r="O24" i="1"/>
  <c r="N24" i="1"/>
  <c r="M24" i="1"/>
  <c r="I24" i="1"/>
  <c r="G24" i="1"/>
  <c r="F24" i="1"/>
  <c r="H24" i="1" s="1"/>
  <c r="E24" i="1"/>
  <c r="O23" i="1"/>
  <c r="N23" i="1"/>
  <c r="M23" i="1"/>
  <c r="I23" i="1"/>
  <c r="G23" i="1"/>
  <c r="F23" i="1"/>
  <c r="H23" i="1" s="1"/>
  <c r="E23" i="1"/>
  <c r="O22" i="1"/>
  <c r="N22" i="1"/>
  <c r="M22" i="1"/>
  <c r="I22" i="1"/>
  <c r="G22" i="1"/>
  <c r="F22" i="1"/>
  <c r="H22" i="1" s="1"/>
  <c r="E22" i="1"/>
  <c r="O21" i="1"/>
  <c r="N21" i="1"/>
  <c r="M21" i="1"/>
  <c r="I21" i="1"/>
  <c r="G21" i="1"/>
  <c r="F21" i="1"/>
  <c r="H21" i="1" s="1"/>
  <c r="E21" i="1"/>
  <c r="O20" i="1"/>
  <c r="L20" i="1"/>
  <c r="K20" i="1"/>
  <c r="J20" i="1"/>
  <c r="I20" i="1"/>
  <c r="G20" i="1"/>
  <c r="F20" i="1"/>
  <c r="H20" i="1" s="1"/>
  <c r="E20" i="1"/>
  <c r="O19" i="1"/>
  <c r="I19" i="1"/>
  <c r="G19" i="1"/>
  <c r="F19" i="1"/>
  <c r="H19" i="1" s="1"/>
  <c r="E19" i="1"/>
  <c r="O18" i="1"/>
  <c r="N18" i="1"/>
  <c r="M18" i="1"/>
  <c r="I18" i="1"/>
  <c r="G18" i="1"/>
  <c r="F18" i="1"/>
  <c r="H18" i="1" s="1"/>
  <c r="E18" i="1"/>
  <c r="O17" i="1"/>
  <c r="N17" i="1"/>
  <c r="M17" i="1"/>
  <c r="I17" i="1"/>
  <c r="G17" i="1"/>
  <c r="F17" i="1"/>
  <c r="H17" i="1" s="1"/>
  <c r="E17" i="1"/>
  <c r="O16" i="1"/>
  <c r="K16" i="1"/>
  <c r="L16" i="1" s="1"/>
  <c r="J16" i="1"/>
  <c r="I16" i="1"/>
  <c r="G16" i="1"/>
  <c r="F16" i="1"/>
  <c r="H16" i="1" s="1"/>
  <c r="E16" i="1"/>
  <c r="O15" i="1"/>
  <c r="N15" i="1"/>
  <c r="M15" i="1"/>
  <c r="I15" i="1"/>
  <c r="G15" i="1"/>
  <c r="F15" i="1"/>
  <c r="H15" i="1" s="1"/>
  <c r="E15" i="1"/>
  <c r="O14" i="1"/>
  <c r="N14" i="1"/>
  <c r="M14" i="1"/>
  <c r="I14" i="1"/>
  <c r="G14" i="1"/>
  <c r="F14" i="1"/>
  <c r="H14" i="1" s="1"/>
  <c r="E14" i="1"/>
  <c r="O13" i="1"/>
  <c r="N13" i="1"/>
  <c r="M13" i="1"/>
  <c r="I13" i="1"/>
  <c r="G13" i="1"/>
  <c r="F13" i="1"/>
  <c r="H13" i="1" s="1"/>
  <c r="E13" i="1"/>
  <c r="O12" i="1"/>
  <c r="N12" i="1"/>
  <c r="M12" i="1"/>
  <c r="K12" i="1"/>
  <c r="J12" i="1"/>
  <c r="L12" i="1" s="1"/>
  <c r="I12" i="1"/>
  <c r="G12" i="1"/>
  <c r="F12" i="1"/>
  <c r="H12" i="1" s="1"/>
  <c r="E12" i="1"/>
  <c r="O11" i="1"/>
  <c r="N11" i="1"/>
  <c r="M11" i="1"/>
  <c r="I11" i="1"/>
  <c r="G11" i="1"/>
  <c r="F11" i="1"/>
  <c r="H11" i="1" s="1"/>
  <c r="E11" i="1"/>
  <c r="O10" i="1"/>
  <c r="I10" i="1"/>
  <c r="G10" i="1"/>
  <c r="F10" i="1"/>
  <c r="H10" i="1" s="1"/>
  <c r="E10" i="1"/>
  <c r="E48" i="1" s="1"/>
  <c r="O9" i="1"/>
  <c r="N9" i="1"/>
  <c r="M9" i="1"/>
  <c r="K9" i="1"/>
  <c r="L9" i="1" s="1"/>
  <c r="J9" i="1"/>
  <c r="I9" i="1"/>
  <c r="G9" i="1"/>
  <c r="H9" i="1" s="1"/>
  <c r="F9" i="1"/>
  <c r="E9" i="1"/>
  <c r="O8" i="1"/>
  <c r="N8" i="1"/>
  <c r="M8" i="1"/>
  <c r="K8" i="1"/>
  <c r="K48" i="1" s="1"/>
  <c r="J8" i="1"/>
  <c r="J48" i="1" s="1"/>
  <c r="I8" i="1"/>
  <c r="G8" i="1"/>
  <c r="F8" i="1"/>
  <c r="H8" i="1" s="1"/>
  <c r="E8" i="1"/>
  <c r="O7" i="1"/>
  <c r="N7" i="1"/>
  <c r="M7" i="1"/>
  <c r="I7" i="1"/>
  <c r="G7" i="1"/>
  <c r="F7" i="1"/>
  <c r="H7" i="1" s="1"/>
  <c r="E7" i="1"/>
  <c r="O6" i="1"/>
  <c r="N6" i="1"/>
  <c r="N48" i="1" s="1"/>
  <c r="M6" i="1"/>
  <c r="M48" i="1" s="1"/>
  <c r="I6" i="1"/>
  <c r="G6" i="1"/>
  <c r="F6" i="1"/>
  <c r="H6" i="1" s="1"/>
  <c r="E6" i="1"/>
  <c r="O5" i="1"/>
  <c r="I5" i="1"/>
  <c r="H5" i="1"/>
  <c r="G5" i="1"/>
  <c r="F5" i="1"/>
  <c r="E5" i="1"/>
  <c r="O4" i="1"/>
  <c r="I4" i="1"/>
  <c r="G4" i="1"/>
  <c r="F4" i="1"/>
  <c r="H4" i="1" s="1"/>
  <c r="E4" i="1"/>
  <c r="O3" i="1"/>
  <c r="O48" i="1" s="1"/>
  <c r="N3" i="1"/>
  <c r="M3" i="1"/>
  <c r="I3" i="1"/>
  <c r="I48" i="1" s="1"/>
  <c r="G3" i="1"/>
  <c r="G48" i="1" s="1"/>
  <c r="F3" i="1"/>
  <c r="H3" i="1" s="1"/>
  <c r="E3" i="1"/>
  <c r="L48" i="1" l="1"/>
  <c r="F48" i="1"/>
  <c r="H52" i="1"/>
  <c r="L8" i="1"/>
  <c r="G51" i="1"/>
</calcChain>
</file>

<file path=xl/sharedStrings.xml><?xml version="1.0" encoding="utf-8"?>
<sst xmlns="http://schemas.openxmlformats.org/spreadsheetml/2006/main" count="127" uniqueCount="87">
  <si>
    <t>Jersey #</t>
  </si>
  <si>
    <t>Pos</t>
  </si>
  <si>
    <t>Name</t>
  </si>
  <si>
    <t>GP</t>
  </si>
  <si>
    <t>Shots</t>
  </si>
  <si>
    <t>Goals</t>
  </si>
  <si>
    <t>Assists</t>
  </si>
  <si>
    <t>Points</t>
  </si>
  <si>
    <t>Ground balls</t>
  </si>
  <si>
    <t>FO Attempts</t>
  </si>
  <si>
    <t>FOW</t>
  </si>
  <si>
    <t>FOW %</t>
  </si>
  <si>
    <t>Penalties</t>
  </si>
  <si>
    <t>Minutes</t>
  </si>
  <si>
    <t>Turnovers</t>
  </si>
  <si>
    <t>A</t>
  </si>
  <si>
    <t>Alex Bates</t>
  </si>
  <si>
    <t>Seth Beahm</t>
  </si>
  <si>
    <t>Nate Randolph</t>
  </si>
  <si>
    <t>Cade Magnanini</t>
  </si>
  <si>
    <t>Reid Koonce</t>
  </si>
  <si>
    <t>Bobby Padden</t>
  </si>
  <si>
    <t>M</t>
  </si>
  <si>
    <t>Dillon Rigg</t>
  </si>
  <si>
    <t>Ben Wakeford</t>
  </si>
  <si>
    <t>Alex Waller</t>
  </si>
  <si>
    <t>Chris Silver</t>
  </si>
  <si>
    <t>Chris Alcorn</t>
  </si>
  <si>
    <t>Grant Meade</t>
  </si>
  <si>
    <t>Thomas Adams-Dukes</t>
  </si>
  <si>
    <t>Bradley Gahan</t>
  </si>
  <si>
    <t>Aaron Morgan</t>
  </si>
  <si>
    <t>Josh Cooper</t>
  </si>
  <si>
    <t>Silas Cambio</t>
  </si>
  <si>
    <t>Robbie Gelsinger</t>
  </si>
  <si>
    <t>Daniel Kuhner</t>
  </si>
  <si>
    <t>D</t>
  </si>
  <si>
    <t>Adrian Rabon</t>
  </si>
  <si>
    <t>Jackson Goodwin</t>
  </si>
  <si>
    <t>LSM/D</t>
  </si>
  <si>
    <t>Bradley Gelsinger</t>
  </si>
  <si>
    <t>Sutton Patterson</t>
  </si>
  <si>
    <t>Nolan Cambio</t>
  </si>
  <si>
    <t>Max Piechotta</t>
  </si>
  <si>
    <t>Gabe Brew</t>
  </si>
  <si>
    <t>Jesus Galindo</t>
  </si>
  <si>
    <t>Nick Waller</t>
  </si>
  <si>
    <t>Oliver Spainhour</t>
  </si>
  <si>
    <t>Elijah Henderson</t>
  </si>
  <si>
    <t>G</t>
  </si>
  <si>
    <t>Jack Gelsinger</t>
  </si>
  <si>
    <t>Ricky Waller</t>
  </si>
  <si>
    <t>Bench</t>
  </si>
  <si>
    <t>TEAM</t>
  </si>
  <si>
    <t>Totals:</t>
  </si>
  <si>
    <t>Games Started</t>
  </si>
  <si>
    <t>Shots on goal</t>
  </si>
  <si>
    <t>Saves</t>
  </si>
  <si>
    <t>Saves per game played</t>
  </si>
  <si>
    <t>Save %</t>
  </si>
  <si>
    <t>#</t>
  </si>
  <si>
    <t>Time</t>
  </si>
  <si>
    <t>Opponents penalties:</t>
  </si>
  <si>
    <t>Clears:</t>
  </si>
  <si>
    <t>Games</t>
  </si>
  <si>
    <t>Successful</t>
  </si>
  <si>
    <t>Unsuccessful</t>
  </si>
  <si>
    <t>%</t>
  </si>
  <si>
    <t>Time of possesion:</t>
  </si>
  <si>
    <t>Opponent Clears:</t>
  </si>
  <si>
    <t>Opponent's T.O.P.:</t>
  </si>
  <si>
    <t>Extra Man Opps:</t>
  </si>
  <si>
    <t>Scored</t>
  </si>
  <si>
    <t>Failed</t>
  </si>
  <si>
    <t>Opponents turnovers:</t>
  </si>
  <si>
    <t>Shots on Goal:</t>
  </si>
  <si>
    <t>Opponents Extra Man Opps:</t>
  </si>
  <si>
    <t>Opponents shots on goal:</t>
  </si>
  <si>
    <t xml:space="preserve">Team: </t>
  </si>
  <si>
    <t>Goals For</t>
  </si>
  <si>
    <t>Goals Against</t>
  </si>
  <si>
    <t>Total:</t>
  </si>
  <si>
    <t>Per Game:</t>
  </si>
  <si>
    <t>Record:</t>
  </si>
  <si>
    <t>Wins: 9</t>
  </si>
  <si>
    <t>Losses: 10</t>
  </si>
  <si>
    <t>Ties: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</si>
</sst>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2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6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9" fontId="0" fillId="0" borderId="0" xfId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9FA3-A419-A04F-AC9F-BC1287E05F2C}">
  <dimension ref="A2:O70"/>
  <sheetViews>
    <sheetView tabSelected="1" workbookViewId="0">
      <selection activeCell="N55" sqref="N55"/>
    </sheetView>
  </sheetViews>
  <sheetFormatPr baseColWidth="10" defaultRowHeight="16" x14ac:dyDescent="0.2"/>
  <cols>
    <col min="3" max="3" width="19.5" customWidth="1"/>
  </cols>
  <sheetData>
    <row r="2" spans="1:15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2">
      <c r="A3" s="3">
        <v>2</v>
      </c>
      <c r="B3" s="3" t="s">
        <v>15</v>
      </c>
      <c r="C3" t="s">
        <v>16</v>
      </c>
      <c r="D3" s="3">
        <v>19</v>
      </c>
      <c r="E3" s="3">
        <f>0+0+0+1+0+0+1+0+0+0+0+4+0+1+0+1+0+1+0</f>
        <v>9</v>
      </c>
      <c r="F3" s="3">
        <f>0+0+0+0+0+0+0+0+0+0+0+0+0+0+0+0+0+0+0</f>
        <v>0</v>
      </c>
      <c r="G3" s="3">
        <f>0+0+0+0+0+0+0+0+0+0+0+0+0+0+0+0+0+0+0</f>
        <v>0</v>
      </c>
      <c r="H3" s="3">
        <f t="shared" ref="H3:H32" si="0">F3+G3</f>
        <v>0</v>
      </c>
      <c r="I3" s="3">
        <f>0+0+0+0+1+0+2+0+0+1+0+1+0+1+1+0+0+0+0</f>
        <v>7</v>
      </c>
      <c r="J3" s="3"/>
      <c r="K3" s="3"/>
      <c r="L3" s="3"/>
      <c r="M3" s="3">
        <f>1</f>
        <v>1</v>
      </c>
      <c r="N3" s="3">
        <f>1</f>
        <v>1</v>
      </c>
      <c r="O3" s="3">
        <f>2+1+0+0+0+2+0+1+0+0+1+2+0+1+0+1+0+0+0</f>
        <v>11</v>
      </c>
    </row>
    <row r="4" spans="1:15" x14ac:dyDescent="0.2">
      <c r="A4" s="3">
        <v>3</v>
      </c>
      <c r="B4" s="3" t="s">
        <v>15</v>
      </c>
      <c r="C4" t="s">
        <v>17</v>
      </c>
      <c r="D4" s="3">
        <v>7</v>
      </c>
      <c r="E4" s="3">
        <f>0+4+1+3+3+0+4+0+0+0+0+0+0+0+0+0+0+0+0</f>
        <v>15</v>
      </c>
      <c r="F4" s="3">
        <f>0+2+0+0+2+0+1+0+0+0+0+0+0+0+0+0+0+0+0</f>
        <v>5</v>
      </c>
      <c r="G4" s="3">
        <f>0+0+0+1+0+0+0+0+0+0+0+0+0+0+0+0+0+0+0</f>
        <v>1</v>
      </c>
      <c r="H4" s="3">
        <f t="shared" si="0"/>
        <v>6</v>
      </c>
      <c r="I4" s="3">
        <f>0+2+0+0+1+0+1+0+0+0+0+0+0+0+0+0+0+0+0</f>
        <v>4</v>
      </c>
      <c r="J4" s="3"/>
      <c r="K4" s="3"/>
      <c r="L4" s="3"/>
      <c r="M4" s="3"/>
      <c r="N4" s="3"/>
      <c r="O4" s="3">
        <f>0+3+0+2+2+1+0+0+0+0+0+0+0+0+0+0+0+0+0</f>
        <v>8</v>
      </c>
    </row>
    <row r="5" spans="1:15" x14ac:dyDescent="0.2">
      <c r="A5" s="3">
        <v>8</v>
      </c>
      <c r="B5" s="3" t="s">
        <v>15</v>
      </c>
      <c r="C5" t="s">
        <v>18</v>
      </c>
      <c r="D5" s="3">
        <v>19</v>
      </c>
      <c r="E5" s="3">
        <f>5+8+2+8+8+4+6+8+9+5+7+11+4+10+5+5+6+6+5</f>
        <v>122</v>
      </c>
      <c r="F5" s="3">
        <f>1+4+1+1+2+3+4+3+0+1+2+4+0+1+1+2+1+2+2</f>
        <v>35</v>
      </c>
      <c r="G5" s="3">
        <f>2+1+0+0+2+0+0+0+0+0+0+0+0+2+0+0+0+0+2</f>
        <v>9</v>
      </c>
      <c r="H5" s="3">
        <f t="shared" si="0"/>
        <v>44</v>
      </c>
      <c r="I5" s="3">
        <f>1+6+2+3+5+2+5+4+3+1+1+4+0+2+1+1+2+3+1</f>
        <v>47</v>
      </c>
      <c r="J5" s="3"/>
      <c r="K5" s="3"/>
      <c r="L5" s="3"/>
      <c r="M5" s="3"/>
      <c r="N5" s="3"/>
      <c r="O5" s="3">
        <f>1+2+1+0+2+3+5+0+4+3+4+3+2+2+2+2+3+0+0</f>
        <v>39</v>
      </c>
    </row>
    <row r="6" spans="1:15" x14ac:dyDescent="0.2">
      <c r="A6" s="3">
        <v>9</v>
      </c>
      <c r="B6" s="3" t="s">
        <v>15</v>
      </c>
      <c r="C6" t="s">
        <v>19</v>
      </c>
      <c r="D6" s="3">
        <v>16</v>
      </c>
      <c r="E6" s="3">
        <f>0+2+0+4+0+0+1+1+9+1+4+0+0+4+1+1+2+1+0</f>
        <v>31</v>
      </c>
      <c r="F6" s="3">
        <f>0+1+0+1+0+0+0+0+3+0+1+0+0+2+0+0+1+0+0</f>
        <v>9</v>
      </c>
      <c r="G6" s="3">
        <f>0+0+0+1+0+0+1+0+0+1+0+0+0+0+0+2+2+0+0</f>
        <v>7</v>
      </c>
      <c r="H6" s="3">
        <f t="shared" si="0"/>
        <v>16</v>
      </c>
      <c r="I6" s="3">
        <f>0+0+1+0+0+0+5+1+3+2+0+0+0+1+0+4+3+0+3</f>
        <v>23</v>
      </c>
      <c r="J6" s="3"/>
      <c r="K6" s="3"/>
      <c r="L6" s="3"/>
      <c r="M6" s="3">
        <f>1+1</f>
        <v>2</v>
      </c>
      <c r="N6" s="3">
        <f>1+0.5</f>
        <v>1.5</v>
      </c>
      <c r="O6" s="3">
        <f>0+0+3+3+0+0+1+2+1+2+0+0+0+1+0+2+1+2+3</f>
        <v>21</v>
      </c>
    </row>
    <row r="7" spans="1:15" x14ac:dyDescent="0.2">
      <c r="A7" s="3">
        <v>13</v>
      </c>
      <c r="B7" s="3" t="s">
        <v>15</v>
      </c>
      <c r="C7" t="s">
        <v>20</v>
      </c>
      <c r="D7" s="3">
        <v>18</v>
      </c>
      <c r="E7" s="3">
        <f>8+5+3+0+6+2+6+6+4+5+10+10+4+7+5+10+7+11+7</f>
        <v>116</v>
      </c>
      <c r="F7" s="3">
        <f>2+1+1+0+2+1+4+1+0+2+2+4+2+3+0+3+2+4+4</f>
        <v>38</v>
      </c>
      <c r="G7" s="3">
        <f>2+1+0+0+0+0+0+1+0+0+0+3+0+1+1+1+1+0+1</f>
        <v>12</v>
      </c>
      <c r="H7" s="3">
        <f t="shared" si="0"/>
        <v>50</v>
      </c>
      <c r="I7" s="3">
        <f>3+2+1+0+3+3+3+2+0+1+2+3+0+3+1+2+1+1+2</f>
        <v>33</v>
      </c>
      <c r="J7" s="3"/>
      <c r="K7" s="3"/>
      <c r="L7" s="3"/>
      <c r="M7" s="3">
        <f>1+1</f>
        <v>2</v>
      </c>
      <c r="N7" s="3">
        <f>1+0.5</f>
        <v>1.5</v>
      </c>
      <c r="O7" s="3">
        <f>0+5+2+0+3+5+4+0+5+1+1+2+0+2+2+0+3+4+2</f>
        <v>41</v>
      </c>
    </row>
    <row r="8" spans="1:15" x14ac:dyDescent="0.2">
      <c r="A8" s="3">
        <v>22</v>
      </c>
      <c r="B8" s="3" t="s">
        <v>15</v>
      </c>
      <c r="C8" t="s">
        <v>21</v>
      </c>
      <c r="D8" s="3">
        <v>18</v>
      </c>
      <c r="E8" s="3">
        <f>12+7+9+11+14+17+5+12+0+9+12+7+8+8+14+16+18+17+10</f>
        <v>206</v>
      </c>
      <c r="F8" s="3">
        <f>6+5+3+3+6+6+3+7+0+0+5+3+1+4+2+7+2+6+6</f>
        <v>75</v>
      </c>
      <c r="G8" s="3">
        <f>0+2+2+2+2+1+1+2+0+0+3+4+1+3+1+3+1+3+2</f>
        <v>33</v>
      </c>
      <c r="H8" s="3">
        <f t="shared" si="0"/>
        <v>108</v>
      </c>
      <c r="I8" s="3">
        <f>5+5+2+2+7+1+2+6+0+3+2+1+2+2+3+3+4+4+4</f>
        <v>58</v>
      </c>
      <c r="J8" s="3">
        <f>1</f>
        <v>1</v>
      </c>
      <c r="K8" s="3">
        <f>1</f>
        <v>1</v>
      </c>
      <c r="L8" s="4">
        <f>K8/J8</f>
        <v>1</v>
      </c>
      <c r="M8" s="3">
        <f>1+1+3+3+1</f>
        <v>9</v>
      </c>
      <c r="N8" s="3">
        <f>1+1+2.5+3+1</f>
        <v>8.5</v>
      </c>
      <c r="O8" s="3">
        <f>3+0+1+2+3+3+2+3+0+1+1+2+0+0+0+4+1+1+0</f>
        <v>27</v>
      </c>
    </row>
    <row r="9" spans="1:15" x14ac:dyDescent="0.2">
      <c r="A9" s="3">
        <v>1</v>
      </c>
      <c r="B9" s="3" t="s">
        <v>22</v>
      </c>
      <c r="C9" t="s">
        <v>23</v>
      </c>
      <c r="D9" s="3">
        <v>18</v>
      </c>
      <c r="E9" s="3">
        <f>0+0+0+0+0+0+1+1+1+0+0+0+0+0+1+1+1+0+0</f>
        <v>6</v>
      </c>
      <c r="F9" s="3">
        <f>0+0+0+0+0+0+0+0+0+0+0+0+0+0+0+1+0+0+0</f>
        <v>1</v>
      </c>
      <c r="G9" s="3">
        <f>0+0+0+0+1+0+1+0+0+0+0+0+0+0+0+0+0+0+0</f>
        <v>2</v>
      </c>
      <c r="H9" s="3">
        <f t="shared" si="0"/>
        <v>3</v>
      </c>
      <c r="I9" s="3">
        <f>0+0+0+2+3+1+1+0+1+0+3+2+0+1+0+3+2+2+1</f>
        <v>22</v>
      </c>
      <c r="J9" s="3">
        <f>3+0+6+3+1+1+5+4+4+2+5+6+9+2+3+7+2+9+7</f>
        <v>79</v>
      </c>
      <c r="K9" s="3">
        <f>1+0+3+2+0+0+3+0+3+0+2+5+2+2+0+3+1+5+2</f>
        <v>34</v>
      </c>
      <c r="L9" s="5">
        <f>K9/J9</f>
        <v>0.43037974683544306</v>
      </c>
      <c r="M9" s="3">
        <f>1+2+1</f>
        <v>4</v>
      </c>
      <c r="N9" s="3">
        <f>1+1.5+1</f>
        <v>3.5</v>
      </c>
      <c r="O9" s="3">
        <f>0+0+0+1+0+0+0+1+0+0+2+0+0+2+0+3+0+0+1</f>
        <v>10</v>
      </c>
    </row>
    <row r="10" spans="1:15" x14ac:dyDescent="0.2">
      <c r="A10" s="3">
        <v>5</v>
      </c>
      <c r="B10" s="3" t="s">
        <v>22</v>
      </c>
      <c r="C10" t="s">
        <v>24</v>
      </c>
      <c r="D10" s="3">
        <v>2</v>
      </c>
      <c r="E10" s="3">
        <f>0+0</f>
        <v>0</v>
      </c>
      <c r="F10" s="3">
        <f>0+0</f>
        <v>0</v>
      </c>
      <c r="G10" s="3">
        <f>0+0</f>
        <v>0</v>
      </c>
      <c r="H10" s="3">
        <f t="shared" si="0"/>
        <v>0</v>
      </c>
      <c r="I10" s="3">
        <f>0+0</f>
        <v>0</v>
      </c>
      <c r="J10" s="3"/>
      <c r="K10" s="3"/>
      <c r="L10" s="5"/>
      <c r="M10" s="3"/>
      <c r="N10" s="3"/>
      <c r="O10" s="3">
        <f>0+0+0+0+0+0+0+1</f>
        <v>1</v>
      </c>
    </row>
    <row r="11" spans="1:15" x14ac:dyDescent="0.2">
      <c r="A11" s="3">
        <v>6</v>
      </c>
      <c r="B11" s="3" t="s">
        <v>22</v>
      </c>
      <c r="C11" t="s">
        <v>25</v>
      </c>
      <c r="D11" s="3">
        <v>18</v>
      </c>
      <c r="E11" s="3">
        <f>5+1+4+4+5+5+2+0+3+2+2+6+2+3+4+4+5+2+2</f>
        <v>61</v>
      </c>
      <c r="F11" s="3">
        <f>2+1+1+1+1+0+2+0+1+0+1+1+0+1+1+3+0+1+0</f>
        <v>17</v>
      </c>
      <c r="G11" s="3">
        <f>0+0+0+0+2+2+2+0+0+0+0+3+0+0+0+0+1+1+0</f>
        <v>11</v>
      </c>
      <c r="H11" s="3">
        <f t="shared" si="0"/>
        <v>28</v>
      </c>
      <c r="I11" s="3">
        <f>0+1+0+0+2+3+1+0+0+1+0+3+2+2+2+1+1+0+0</f>
        <v>19</v>
      </c>
      <c r="J11" s="3"/>
      <c r="K11" s="3"/>
      <c r="L11" s="5"/>
      <c r="M11" s="3">
        <f>1+1+1</f>
        <v>3</v>
      </c>
      <c r="N11" s="3">
        <f>1+0.5+1</f>
        <v>2.5</v>
      </c>
      <c r="O11" s="3">
        <f>2+1+3+1+0+0+2+0+4+2+0+0+1+3+2+2+1+1+3</f>
        <v>28</v>
      </c>
    </row>
    <row r="12" spans="1:15" x14ac:dyDescent="0.2">
      <c r="A12" s="3">
        <v>10</v>
      </c>
      <c r="B12" s="3" t="s">
        <v>22</v>
      </c>
      <c r="C12" t="s">
        <v>26</v>
      </c>
      <c r="D12" s="3">
        <v>19</v>
      </c>
      <c r="E12" s="3">
        <f>0+1+0+1+0+0+0+0+0+1+2+3+0+1+1+0+0+1+1</f>
        <v>12</v>
      </c>
      <c r="F12" s="3">
        <f>0+0+0+0+0+0+0+0+0+0+1+1+0+0+1+0+0+1+1</f>
        <v>5</v>
      </c>
      <c r="G12" s="3">
        <f>0+0+0+0+0+0+0+0+0+0+0+0+0+0+0+0+0+0+0</f>
        <v>0</v>
      </c>
      <c r="H12" s="3">
        <f t="shared" si="0"/>
        <v>5</v>
      </c>
      <c r="I12" s="3">
        <f>8+11+11+12+11+5+2+3+7+5+6+7+6+12+6+11+9+11+6+4</f>
        <v>153</v>
      </c>
      <c r="J12" s="3">
        <f>22+17+18+21+17+21+18+25+16+19+21+15+17+18+19+19+18+23+24</f>
        <v>368</v>
      </c>
      <c r="K12" s="3">
        <f>16+14+13+19+14+13+11+10+13+10+16+13+9+16+12+11+15+16+10</f>
        <v>251</v>
      </c>
      <c r="L12" s="5">
        <f>K12/J12</f>
        <v>0.68206521739130432</v>
      </c>
      <c r="M12" s="3">
        <f>1+1</f>
        <v>2</v>
      </c>
      <c r="N12" s="3">
        <f>1+1</f>
        <v>2</v>
      </c>
      <c r="O12" s="3">
        <f>0+1+0+1+0+0+0+0+0+0+1+1+0+1+1+1+2+0+0</f>
        <v>9</v>
      </c>
    </row>
    <row r="13" spans="1:15" x14ac:dyDescent="0.2">
      <c r="A13" s="3">
        <v>11</v>
      </c>
      <c r="B13" s="3" t="s">
        <v>22</v>
      </c>
      <c r="C13" t="s">
        <v>27</v>
      </c>
      <c r="D13" s="3">
        <v>19</v>
      </c>
      <c r="E13" s="3">
        <f>0+0+2+4+2+0+1+0+1+1+0+3+0+1+0+1+1+2+0</f>
        <v>19</v>
      </c>
      <c r="F13" s="3">
        <f>0+0+0+1+0+0+0+0+0+0+0+0+0+0+0+0+1+1+0</f>
        <v>3</v>
      </c>
      <c r="G13" s="3">
        <f>0+0+0+0+0+1+0+1+0+0+1+0+0+1+0+2+0+0+0</f>
        <v>6</v>
      </c>
      <c r="H13" s="3">
        <f t="shared" si="0"/>
        <v>9</v>
      </c>
      <c r="I13" s="3">
        <f>5+3+3+6+1+3+6+2+2+3+8+7+4+4+3+8+7+6+5</f>
        <v>86</v>
      </c>
      <c r="J13" s="3"/>
      <c r="K13" s="3"/>
      <c r="L13" s="5"/>
      <c r="M13" s="3">
        <f>1</f>
        <v>1</v>
      </c>
      <c r="N13" s="3">
        <f>1</f>
        <v>1</v>
      </c>
      <c r="O13" s="3">
        <f>0+1+1+0+0+1+2+2+1+1+0+0+1+1+2+0+2+1+2</f>
        <v>18</v>
      </c>
    </row>
    <row r="14" spans="1:15" x14ac:dyDescent="0.2">
      <c r="A14" s="3">
        <v>14</v>
      </c>
      <c r="B14" s="3" t="s">
        <v>22</v>
      </c>
      <c r="C14" t="s">
        <v>28</v>
      </c>
      <c r="D14" s="3">
        <v>18</v>
      </c>
      <c r="E14" s="3">
        <f>0+0+0+0+1+0+1+0+1+0+0+0+1+1+0+0+0+0+0</f>
        <v>5</v>
      </c>
      <c r="F14" s="3">
        <f>0+0+0+0+0+0+0+0+0+0+0+0+0+0+0+0+0+0+0</f>
        <v>0</v>
      </c>
      <c r="G14" s="3">
        <f>0+0+0+0+1+0+0+0+1+0+0+0+0+0+0+0+0+0+0</f>
        <v>2</v>
      </c>
      <c r="H14" s="3">
        <f t="shared" si="0"/>
        <v>2</v>
      </c>
      <c r="I14" s="3">
        <f>1+1+0+0+1+2+0+0+1+1+3+0+1+3+0+0+0+0+0</f>
        <v>14</v>
      </c>
      <c r="J14" s="3"/>
      <c r="K14" s="3"/>
      <c r="L14" s="4"/>
      <c r="M14" s="3">
        <f>1+1</f>
        <v>2</v>
      </c>
      <c r="N14" s="3">
        <f>1+1</f>
        <v>2</v>
      </c>
      <c r="O14" s="3">
        <f>0+0+2+0+1+2+0+0+0+1+2+0+0+0+0+0+0+0+0</f>
        <v>8</v>
      </c>
    </row>
    <row r="15" spans="1:15" x14ac:dyDescent="0.2">
      <c r="A15" s="3">
        <v>18</v>
      </c>
      <c r="B15" s="3" t="s">
        <v>22</v>
      </c>
      <c r="C15" t="s">
        <v>29</v>
      </c>
      <c r="D15" s="3">
        <v>19</v>
      </c>
      <c r="E15" s="3">
        <f>0+0+0+0+0+0+0+0+0+0+0+1+0+0+0+0+0+0+0</f>
        <v>1</v>
      </c>
      <c r="F15" s="3">
        <f>0+0+0+0+0+0+0+0+0+0+0+1+0+0+0+0+0+0+0</f>
        <v>1</v>
      </c>
      <c r="G15" s="3">
        <f>0+0+0+0+0+0+0+0+0+0+0+0+0+0+0+0+0+0+0</f>
        <v>0</v>
      </c>
      <c r="H15" s="3">
        <f t="shared" si="0"/>
        <v>1</v>
      </c>
      <c r="I15" s="3">
        <f>0+1+0+1+0+0+0+0+0+0+0+2+1+1+1+0+0+0+0</f>
        <v>7</v>
      </c>
      <c r="J15" s="3"/>
      <c r="K15" s="3"/>
      <c r="L15" s="4"/>
      <c r="M15" s="3">
        <f>1+1+1</f>
        <v>3</v>
      </c>
      <c r="N15" s="3">
        <f>0.5+0.5+1</f>
        <v>2</v>
      </c>
      <c r="O15" s="3">
        <f>0+1+0+1+0+0+0+4+1+0+0+2+0+0+1+1+0+0+0</f>
        <v>11</v>
      </c>
    </row>
    <row r="16" spans="1:15" x14ac:dyDescent="0.2">
      <c r="A16" s="3">
        <v>20</v>
      </c>
      <c r="B16" s="3" t="s">
        <v>22</v>
      </c>
      <c r="C16" t="s">
        <v>30</v>
      </c>
      <c r="D16" s="3">
        <v>15</v>
      </c>
      <c r="E16" s="3">
        <f>0+0+0+0+0+0+0+0+0+0+0+0+0+0+0+0+0+0+0</f>
        <v>0</v>
      </c>
      <c r="F16" s="3">
        <f>0+0+0+0+0+0+0+0+0+0+0+0+0+0+0+0+0+0+0</f>
        <v>0</v>
      </c>
      <c r="G16" s="3">
        <f>0+0+0+0+0+0+0+0+0+0+0+0+0+0+0+0+0+0+0</f>
        <v>0</v>
      </c>
      <c r="H16" s="3">
        <f t="shared" si="0"/>
        <v>0</v>
      </c>
      <c r="I16" s="3">
        <f>0+0+0+0+0+0+0+0+0+0+0+0+0+0+0+0+0+0+0</f>
        <v>0</v>
      </c>
      <c r="J16" s="3">
        <f>0+3+0</f>
        <v>3</v>
      </c>
      <c r="K16" s="3">
        <f>0+1+0</f>
        <v>1</v>
      </c>
      <c r="L16" s="5">
        <f>K16/J16</f>
        <v>0.33333333333333331</v>
      </c>
      <c r="M16" s="3"/>
      <c r="N16" s="3"/>
      <c r="O16" s="3">
        <f>0+0+0+0+0+0+0+0+0+0+0+0+0+0+0+0+0+0</f>
        <v>0</v>
      </c>
    </row>
    <row r="17" spans="1:15" x14ac:dyDescent="0.2">
      <c r="A17" s="3">
        <v>25</v>
      </c>
      <c r="B17" s="3" t="s">
        <v>22</v>
      </c>
      <c r="C17" t="s">
        <v>31</v>
      </c>
      <c r="D17" s="3">
        <v>18</v>
      </c>
      <c r="E17" s="3">
        <f>2+5+2+8+4+4+4+7+5+3+4+8+3+4+6+0+4+5+3</f>
        <v>81</v>
      </c>
      <c r="F17" s="3">
        <f>0+3+0+3+0+0+0+2+0+0+1+3+0+0+1+0+1+2+0</f>
        <v>16</v>
      </c>
      <c r="G17" s="3">
        <f>0+0+0+0+1+1+0+1+0+1+0+1+0+1+0+0+1+0+0</f>
        <v>7</v>
      </c>
      <c r="H17" s="3">
        <f t="shared" si="0"/>
        <v>23</v>
      </c>
      <c r="I17" s="3">
        <f>3+0+2+2+2+6+3+4+3+2+6+5+2+4+1+0+2+0+2</f>
        <v>49</v>
      </c>
      <c r="J17" s="3"/>
      <c r="K17" s="3"/>
      <c r="L17" s="4"/>
      <c r="M17" s="3">
        <f>1+1+1+2+1+1</f>
        <v>7</v>
      </c>
      <c r="N17" s="3">
        <f>0.5+0.5+2+1.5+0.5+0.5</f>
        <v>5.5</v>
      </c>
      <c r="O17" s="3">
        <f>0+0+3+1+1+0+0+2+2+2+0+0+3+1+0+0+0+1</f>
        <v>16</v>
      </c>
    </row>
    <row r="18" spans="1:15" x14ac:dyDescent="0.2">
      <c r="A18" s="3">
        <v>26</v>
      </c>
      <c r="B18" s="3" t="s">
        <v>22</v>
      </c>
      <c r="C18" t="s">
        <v>32</v>
      </c>
      <c r="D18" s="3">
        <v>17</v>
      </c>
      <c r="E18" s="3">
        <f>0+0+0+0+0+0+0+0+0+0+0+0+0+0+0+0+0+0+0</f>
        <v>0</v>
      </c>
      <c r="F18" s="3">
        <f>0+0+0+0+0+0+0+0+0+0+0+0+0+0+0+0+0+0+0</f>
        <v>0</v>
      </c>
      <c r="G18" s="3">
        <f>0+0+0+0+0+0+0+0+0+0+0+0+0+0+0+0+0+0+0</f>
        <v>0</v>
      </c>
      <c r="H18" s="3">
        <f t="shared" si="0"/>
        <v>0</v>
      </c>
      <c r="I18" s="3">
        <f>0+2+0+0+1+0+0+2+0+0+1+0+1+1+0+1+0+0+1</f>
        <v>10</v>
      </c>
      <c r="J18" s="3"/>
      <c r="K18" s="3"/>
      <c r="L18" s="4"/>
      <c r="M18" s="3">
        <f>1+1+1</f>
        <v>3</v>
      </c>
      <c r="N18" s="3">
        <f>1+1+1</f>
        <v>3</v>
      </c>
      <c r="O18" s="3">
        <f>0+1+0+0+0+0+0+1+1+0+0+0+1+0+0+1+0+1+0</f>
        <v>6</v>
      </c>
    </row>
    <row r="19" spans="1:15" x14ac:dyDescent="0.2">
      <c r="A19" s="3">
        <v>28</v>
      </c>
      <c r="B19" s="3" t="s">
        <v>22</v>
      </c>
      <c r="C19" t="s">
        <v>33</v>
      </c>
      <c r="D19" s="3">
        <v>19</v>
      </c>
      <c r="E19" s="3">
        <f>0+0+0+1+0+0+0+0+0+0+0+0+0+0+0+0+0+0+0</f>
        <v>1</v>
      </c>
      <c r="F19" s="3">
        <f>0+0+0+0+0+0+0+0+0+0+0+0+0+0+0+0+0+0+0</f>
        <v>0</v>
      </c>
      <c r="G19" s="3">
        <f>0+0+0+0+0+0+0+0+0+0+0+0+0+0+0+0+0+0+0</f>
        <v>0</v>
      </c>
      <c r="H19" s="3">
        <f>F19+G19</f>
        <v>0</v>
      </c>
      <c r="I19" s="3">
        <f>0+0+0+0+0+0+0+0+0+0+0+0+0+0+0+0+0+0+0</f>
        <v>0</v>
      </c>
      <c r="J19" s="3"/>
      <c r="K19" s="3"/>
      <c r="L19" s="4"/>
      <c r="M19" s="3"/>
      <c r="N19" s="3"/>
      <c r="O19" s="3">
        <f>0+0+0+0+0+0+0+0+0+0+0+0+0+0+0+0+0+0+0</f>
        <v>0</v>
      </c>
    </row>
    <row r="20" spans="1:15" x14ac:dyDescent="0.2">
      <c r="A20" s="3">
        <v>29</v>
      </c>
      <c r="B20" s="3" t="s">
        <v>22</v>
      </c>
      <c r="C20" t="s">
        <v>34</v>
      </c>
      <c r="D20" s="3">
        <v>4</v>
      </c>
      <c r="E20" s="3">
        <f>0+0+0+0</f>
        <v>0</v>
      </c>
      <c r="F20" s="3">
        <f>0+0+0+0</f>
        <v>0</v>
      </c>
      <c r="G20" s="3">
        <f t="shared" ref="G20" si="1">0+0+0+0+0+0+0+0+0+0+0+0+0+0+0+0</f>
        <v>0</v>
      </c>
      <c r="H20" s="3">
        <f t="shared" si="0"/>
        <v>0</v>
      </c>
      <c r="I20" s="3">
        <f>0+0+0+0</f>
        <v>0</v>
      </c>
      <c r="J20" s="3">
        <f>4+1+4</f>
        <v>9</v>
      </c>
      <c r="K20" s="3">
        <f>1+1+1</f>
        <v>3</v>
      </c>
      <c r="L20" s="5">
        <f>K20/J20</f>
        <v>0.33333333333333331</v>
      </c>
      <c r="M20" s="3"/>
      <c r="N20" s="3"/>
      <c r="O20" s="3">
        <f>0+0+0+0</f>
        <v>0</v>
      </c>
    </row>
    <row r="21" spans="1:15" x14ac:dyDescent="0.2">
      <c r="A21" s="3">
        <v>32</v>
      </c>
      <c r="B21" s="3" t="s">
        <v>22</v>
      </c>
      <c r="C21" t="s">
        <v>35</v>
      </c>
      <c r="D21" s="3">
        <v>6</v>
      </c>
      <c r="E21" s="3">
        <f>1+0+0+0+0+1</f>
        <v>2</v>
      </c>
      <c r="F21" s="3">
        <f>1+0+0+0+0+0</f>
        <v>1</v>
      </c>
      <c r="G21" s="3">
        <f>0+0+0+0+0+0+0+0+0+0+0+0+0+0+0+0+0</f>
        <v>0</v>
      </c>
      <c r="H21" s="3">
        <f t="shared" si="0"/>
        <v>1</v>
      </c>
      <c r="I21" s="3">
        <f>0+0+1+0+0+0</f>
        <v>1</v>
      </c>
      <c r="J21" s="3"/>
      <c r="K21" s="3"/>
      <c r="L21" s="4"/>
      <c r="M21" s="3">
        <f>1</f>
        <v>1</v>
      </c>
      <c r="N21" s="3">
        <f>0.5</f>
        <v>0.5</v>
      </c>
      <c r="O21" s="3">
        <f>0+0+0+0+1+0</f>
        <v>1</v>
      </c>
    </row>
    <row r="22" spans="1:15" x14ac:dyDescent="0.2">
      <c r="A22" s="3">
        <v>7</v>
      </c>
      <c r="B22" s="3" t="s">
        <v>36</v>
      </c>
      <c r="C22" t="s">
        <v>37</v>
      </c>
      <c r="D22" s="3">
        <v>19</v>
      </c>
      <c r="E22" s="3">
        <f>0+0+0+0+0+0+0+0+0+0+0+0+0+0+0+0+0+0+0</f>
        <v>0</v>
      </c>
      <c r="F22" s="3">
        <f>0+0+0+0+0+0+0+0+0+0+0+0+0+0+0+0+0+0+0</f>
        <v>0</v>
      </c>
      <c r="G22" s="3">
        <f>0+0+0+0+0+0+0+0+0+0+0+0+0+0+0+0+0+0+0</f>
        <v>0</v>
      </c>
      <c r="H22" s="3">
        <f t="shared" si="0"/>
        <v>0</v>
      </c>
      <c r="I22" s="3">
        <f>0+1+0+0+0+0+0+0+1+0+1+1+1+2+0+0+0+4+1</f>
        <v>12</v>
      </c>
      <c r="J22" s="3"/>
      <c r="K22" s="3"/>
      <c r="M22" s="3">
        <f>1+1</f>
        <v>2</v>
      </c>
      <c r="N22" s="3">
        <f>0.5+1</f>
        <v>1.5</v>
      </c>
      <c r="O22" s="3">
        <f>0+0+0+0+0+0+0+1+1+0+0+1+1+0+0+0+0+1+1</f>
        <v>6</v>
      </c>
    </row>
    <row r="23" spans="1:15" x14ac:dyDescent="0.2">
      <c r="A23" s="3">
        <v>12</v>
      </c>
      <c r="B23" s="3" t="s">
        <v>36</v>
      </c>
      <c r="C23" t="s">
        <v>38</v>
      </c>
      <c r="D23" s="3">
        <v>19</v>
      </c>
      <c r="E23" s="3">
        <f>1+0+0+0+0+0+0+0+0+0+0+0+0+0+0+0+0+0+0</f>
        <v>1</v>
      </c>
      <c r="F23" s="3">
        <f>0+0+0+0+0+0+0+0+0+0+0+0+0+0+0+0+0+0+0</f>
        <v>0</v>
      </c>
      <c r="G23" s="3">
        <f>0+0+0+0+0+0+0+0+0+0+0+0+0+0+0+0+0+0+0</f>
        <v>0</v>
      </c>
      <c r="H23" s="3">
        <f t="shared" si="0"/>
        <v>0</v>
      </c>
      <c r="I23" s="3">
        <f>1+0+0+2+0+2+2+2+2+0+0+0+1+1+1+2+1+0+0+2</f>
        <v>19</v>
      </c>
      <c r="J23" s="3"/>
      <c r="K23" s="3"/>
      <c r="L23" s="4"/>
      <c r="M23" s="3">
        <f>1+2+1</f>
        <v>4</v>
      </c>
      <c r="N23" s="3">
        <f>1+1.5+0.5</f>
        <v>3</v>
      </c>
      <c r="O23" s="3">
        <f>0+0+0+1+0+0+3+1+1+0+0+0+0+0+0+1+0+0+0</f>
        <v>7</v>
      </c>
    </row>
    <row r="24" spans="1:15" x14ac:dyDescent="0.2">
      <c r="A24" s="3">
        <v>15</v>
      </c>
      <c r="B24" s="3" t="s">
        <v>39</v>
      </c>
      <c r="C24" t="s">
        <v>40</v>
      </c>
      <c r="D24" s="3">
        <v>19</v>
      </c>
      <c r="E24" s="3">
        <f>0+0+0+0+0+0+1+0+0+0+0+1+0+0+0+0+0+0+0</f>
        <v>2</v>
      </c>
      <c r="F24" s="3">
        <f t="shared" ref="F24:F29" si="2">0+0+0+0+0+0+0+0+0+0+0+0+0+0+0+0+0+0+0</f>
        <v>0</v>
      </c>
      <c r="G24" s="3">
        <f>0+0+0+0+1+0+0+0+0+0+0+0+0+0+0+0+0+0+0</f>
        <v>1</v>
      </c>
      <c r="H24" s="3">
        <f t="shared" si="0"/>
        <v>1</v>
      </c>
      <c r="I24" s="3">
        <f>3+1+0+0+3+2+1+5+1+0+0+1+3+3+2+2+2+1+2+0</f>
        <v>32</v>
      </c>
      <c r="J24" s="3"/>
      <c r="K24" s="3"/>
      <c r="L24" s="4"/>
      <c r="M24" s="3">
        <f>1+1+1+2+1+1</f>
        <v>7</v>
      </c>
      <c r="N24" s="3">
        <f>1+1+1+2+1+0.5</f>
        <v>6.5</v>
      </c>
      <c r="O24" s="3">
        <f>0+2+0+0+1+1+0+1+2+0+1+0+1+0+0+1+0+0+0</f>
        <v>10</v>
      </c>
    </row>
    <row r="25" spans="1:15" x14ac:dyDescent="0.2">
      <c r="A25" s="3">
        <v>31</v>
      </c>
      <c r="B25" s="3" t="s">
        <v>36</v>
      </c>
      <c r="C25" t="s">
        <v>41</v>
      </c>
      <c r="D25" s="3">
        <v>18</v>
      </c>
      <c r="E25" s="3">
        <f>0+0+0+0+0+0+0+0+0+0+0+0+0+0+0+0+0+0+0</f>
        <v>0</v>
      </c>
      <c r="F25" s="3">
        <f t="shared" si="2"/>
        <v>0</v>
      </c>
      <c r="G25" s="3">
        <f>0+0+0+0+0+0+0+0+0+0+0+0+0+0+0+0+0+0+0</f>
        <v>0</v>
      </c>
      <c r="H25" s="3">
        <f t="shared" si="0"/>
        <v>0</v>
      </c>
      <c r="I25" s="3">
        <f>0+0+0+0+0+0+0+0+0+0+0+0+0+0+0+0+0+0+0</f>
        <v>0</v>
      </c>
      <c r="J25" s="3"/>
      <c r="K25" s="3"/>
      <c r="L25" s="3"/>
      <c r="M25" s="3"/>
      <c r="N25" s="3"/>
      <c r="O25" s="3">
        <f>0+0+0+0+0+0+0+0+0+0+0+0+1+0+0+0+0+0+0</f>
        <v>1</v>
      </c>
    </row>
    <row r="26" spans="1:15" x14ac:dyDescent="0.2">
      <c r="A26" s="3">
        <v>19</v>
      </c>
      <c r="B26" s="3" t="s">
        <v>36</v>
      </c>
      <c r="C26" t="s">
        <v>42</v>
      </c>
      <c r="D26" s="3">
        <v>17</v>
      </c>
      <c r="E26" s="3">
        <f>0+0+0+0+0+0+0+0+0+0+0+0+0+0+0+0+0+0+0</f>
        <v>0</v>
      </c>
      <c r="F26" s="3">
        <f t="shared" si="2"/>
        <v>0</v>
      </c>
      <c r="G26" s="3">
        <f>0+0+0+0+0+0+0+0+0+0+0+0+0+0+0+0+0+0+0</f>
        <v>0</v>
      </c>
      <c r="H26" s="3">
        <f>F26+G26</f>
        <v>0</v>
      </c>
      <c r="I26" s="3">
        <f>0+0+0+0+0+0+0+0+0+0+0+1+1+0+0+0+0+0+0</f>
        <v>2</v>
      </c>
      <c r="J26" s="3"/>
      <c r="K26" s="3"/>
      <c r="L26" s="3"/>
      <c r="M26" s="3"/>
      <c r="N26" s="3"/>
      <c r="O26" s="3">
        <f>0+0+0+0+0+0+0+0+0+0+0+0+0+0+0+0+0+0+0</f>
        <v>0</v>
      </c>
    </row>
    <row r="27" spans="1:15" x14ac:dyDescent="0.2">
      <c r="A27" s="3">
        <v>24</v>
      </c>
      <c r="B27" s="3" t="s">
        <v>36</v>
      </c>
      <c r="C27" t="s">
        <v>43</v>
      </c>
      <c r="D27" s="3">
        <v>19</v>
      </c>
      <c r="E27" s="3">
        <f>0+0+0+0+0+0+0+0+0+0+0+0+0+0+0+0+0+0+0</f>
        <v>0</v>
      </c>
      <c r="F27" s="3">
        <f t="shared" si="2"/>
        <v>0</v>
      </c>
      <c r="G27" s="3">
        <f>0+0+0+0+0+0+0+0+0+0+0+0+0+0+0+0+0+0+0</f>
        <v>0</v>
      </c>
      <c r="H27" s="3">
        <f t="shared" si="0"/>
        <v>0</v>
      </c>
      <c r="I27" s="3">
        <f>1+1+0+2+1+1+3+1+1+1+4+3+1+1+1+1+0+1+1</f>
        <v>25</v>
      </c>
      <c r="J27" s="3"/>
      <c r="K27" s="3"/>
      <c r="M27" s="3">
        <f>1+1+1+1</f>
        <v>4</v>
      </c>
      <c r="N27" s="3">
        <f>0.5+1+1+1</f>
        <v>3.5</v>
      </c>
      <c r="O27" s="3">
        <f>1+1+0+1+0+1+0+1+0+0+1+0+2+0+1+0+0+0+0</f>
        <v>9</v>
      </c>
    </row>
    <row r="28" spans="1:15" x14ac:dyDescent="0.2">
      <c r="A28" s="3">
        <v>27</v>
      </c>
      <c r="B28" s="3" t="s">
        <v>36</v>
      </c>
      <c r="C28" t="s">
        <v>44</v>
      </c>
      <c r="D28" s="3">
        <v>17</v>
      </c>
      <c r="E28" s="3">
        <f>0+0+0+0+0+0+0+0+0+0+0+0+0+0+0+0+0+0+0</f>
        <v>0</v>
      </c>
      <c r="F28" s="3">
        <f t="shared" si="2"/>
        <v>0</v>
      </c>
      <c r="G28" s="3">
        <f>0+0+0+0+0+0+0+0+0+0+0+0+0+0+0+0+0+0+0</f>
        <v>0</v>
      </c>
      <c r="H28" s="3">
        <f t="shared" si="0"/>
        <v>0</v>
      </c>
      <c r="I28" s="3">
        <f>0+0+1+0+3+1+2+0+0+1+3+2+1+1+1+2+1+2+0</f>
        <v>21</v>
      </c>
      <c r="J28" s="3"/>
      <c r="K28" s="3"/>
      <c r="L28" s="4"/>
      <c r="M28" s="3">
        <f>2+2+2+3+2+4+2+2+3+1+1+1+1+1</f>
        <v>27</v>
      </c>
      <c r="N28" s="3">
        <f>1+2+1.5+3+1.5+5+3+2+2.5+1+1+0.5+1+1</f>
        <v>26</v>
      </c>
      <c r="O28" s="3">
        <f>0+0+0+2+0+0+0+0+0+2+0+0+1+0+1+3+0+4+0</f>
        <v>13</v>
      </c>
    </row>
    <row r="29" spans="1:15" x14ac:dyDescent="0.2">
      <c r="A29" s="3">
        <v>30</v>
      </c>
      <c r="B29" s="3" t="s">
        <v>36</v>
      </c>
      <c r="C29" t="s">
        <v>45</v>
      </c>
      <c r="D29" s="3">
        <v>19</v>
      </c>
      <c r="E29" s="3">
        <f>0+0+0+0+0+0+0+0+0+0+0+0+0+0+0+0+0+0+0</f>
        <v>0</v>
      </c>
      <c r="F29" s="3">
        <f t="shared" si="2"/>
        <v>0</v>
      </c>
      <c r="G29" s="3">
        <f>0+1+0+0+0+0+0+0+0+0+0+0+0+0+0+0+0+0+1</f>
        <v>2</v>
      </c>
      <c r="H29" s="3">
        <f t="shared" si="0"/>
        <v>2</v>
      </c>
      <c r="I29" s="3">
        <f>0+1+1+0+1+1+4+3+4+1+1+4+0+0+0+3+1+2+0+1</f>
        <v>28</v>
      </c>
      <c r="J29" s="3"/>
      <c r="K29" s="3"/>
      <c r="L29" s="3"/>
      <c r="M29" s="3">
        <f>1+1+1+1+1+1+1+2</f>
        <v>9</v>
      </c>
      <c r="N29" s="3">
        <f>1+0.5+1+1+1+1+0.5+1</f>
        <v>7</v>
      </c>
      <c r="O29" s="3">
        <f>2+0+0+0+1+0+1+1+1+0+0+2+0+0+0+2+0+1+3</f>
        <v>14</v>
      </c>
    </row>
    <row r="30" spans="1:15" x14ac:dyDescent="0.2">
      <c r="A30" s="3">
        <v>16</v>
      </c>
      <c r="B30" s="3" t="s">
        <v>22</v>
      </c>
      <c r="C30" t="s">
        <v>46</v>
      </c>
      <c r="D30" s="3">
        <v>1</v>
      </c>
      <c r="E30" s="3">
        <f>0</f>
        <v>0</v>
      </c>
      <c r="F30" s="3">
        <f>0</f>
        <v>0</v>
      </c>
      <c r="G30" s="3">
        <f>0</f>
        <v>0</v>
      </c>
      <c r="H30" s="3">
        <f t="shared" si="0"/>
        <v>0</v>
      </c>
      <c r="I30" s="3">
        <f>0</f>
        <v>0</v>
      </c>
      <c r="J30" s="3"/>
      <c r="K30" s="3"/>
      <c r="L30" s="3"/>
      <c r="M30" s="3"/>
      <c r="N30" s="3"/>
      <c r="O30" s="3">
        <f>0</f>
        <v>0</v>
      </c>
    </row>
    <row r="31" spans="1:15" x14ac:dyDescent="0.2">
      <c r="A31" s="3">
        <v>34</v>
      </c>
      <c r="B31" s="3" t="s">
        <v>22</v>
      </c>
      <c r="C31" t="s">
        <v>47</v>
      </c>
      <c r="D31" s="3">
        <v>1</v>
      </c>
      <c r="E31" s="3">
        <f>0</f>
        <v>0</v>
      </c>
      <c r="F31" s="3">
        <f>0</f>
        <v>0</v>
      </c>
      <c r="G31" s="3">
        <f>0</f>
        <v>0</v>
      </c>
      <c r="H31" s="3">
        <f t="shared" si="0"/>
        <v>0</v>
      </c>
      <c r="I31" s="3">
        <f>0</f>
        <v>0</v>
      </c>
      <c r="J31" s="3"/>
      <c r="K31" s="3"/>
      <c r="L31" s="3"/>
      <c r="M31" s="3"/>
      <c r="N31" s="3"/>
      <c r="O31" s="3">
        <f>0</f>
        <v>0</v>
      </c>
    </row>
    <row r="32" spans="1:15" x14ac:dyDescent="0.2">
      <c r="A32" s="3">
        <v>33</v>
      </c>
      <c r="B32" s="3" t="s">
        <v>36</v>
      </c>
      <c r="C32" t="s">
        <v>48</v>
      </c>
      <c r="D32" s="3">
        <v>1</v>
      </c>
      <c r="E32" s="3">
        <f>0</f>
        <v>0</v>
      </c>
      <c r="F32" s="3">
        <f>0</f>
        <v>0</v>
      </c>
      <c r="G32" s="3">
        <f>0</f>
        <v>0</v>
      </c>
      <c r="H32" s="3">
        <f t="shared" si="0"/>
        <v>0</v>
      </c>
      <c r="I32" s="3">
        <f>0</f>
        <v>0</v>
      </c>
      <c r="J32" s="3"/>
      <c r="K32" s="3"/>
      <c r="L32" s="3"/>
      <c r="M32" s="3"/>
      <c r="N32" s="3"/>
      <c r="O32" s="3">
        <f>0</f>
        <v>0</v>
      </c>
    </row>
    <row r="33" spans="1:15" x14ac:dyDescent="0.2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3"/>
      <c r="B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3"/>
      <c r="B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3"/>
      <c r="B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">
      <c r="A37" s="3"/>
      <c r="B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">
      <c r="A38" s="3">
        <v>21</v>
      </c>
      <c r="B38" s="3" t="s">
        <v>49</v>
      </c>
      <c r="C38" t="s">
        <v>50</v>
      </c>
      <c r="D38" s="3">
        <v>9</v>
      </c>
      <c r="E38" s="3">
        <f>0+0+0+0+0+0+0+0+0+0+0+0+0+0+0+0</f>
        <v>0</v>
      </c>
      <c r="F38" s="3">
        <f>0+0+0+0+0+0+0+0+0+0+0+0+0+0+0+0+0</f>
        <v>0</v>
      </c>
      <c r="G38" s="3">
        <f>0+0+0+0+0+0+0+0+0+0+0+0+0+0+0+0</f>
        <v>0</v>
      </c>
      <c r="H38" s="3">
        <f t="shared" ref="H38:H39" si="3">F38+G38</f>
        <v>0</v>
      </c>
      <c r="I38" s="3">
        <f>0+0+0+0+4+0+0+0+2+0+5+0+4+0+0+0+0</f>
        <v>15</v>
      </c>
      <c r="J38" s="3"/>
      <c r="K38" s="3"/>
      <c r="L38" s="3"/>
      <c r="M38" s="3">
        <f>0</f>
        <v>0</v>
      </c>
      <c r="N38" s="3"/>
      <c r="O38" s="3">
        <f>0+0+0+0+0+0+0+0+1+0+1+0+1+0+0+0+0</f>
        <v>3</v>
      </c>
    </row>
    <row r="39" spans="1:15" x14ac:dyDescent="0.2">
      <c r="A39" s="3">
        <v>23</v>
      </c>
      <c r="B39" s="3" t="s">
        <v>49</v>
      </c>
      <c r="C39" t="s">
        <v>51</v>
      </c>
      <c r="D39" s="3">
        <v>18</v>
      </c>
      <c r="E39" s="3">
        <f>0+0+0+0+0+0+0+0+0+0+0+0+0+0+0+0+0+0</f>
        <v>0</v>
      </c>
      <c r="F39" s="3">
        <f>0+0+0+0+0+0+0+0+0+0+0+0+0+0+0+0+0+0+0</f>
        <v>0</v>
      </c>
      <c r="G39" s="3">
        <f>0+0+0+0+0+0+0+0+0+0+0+0+0+0+0+0+0+0</f>
        <v>0</v>
      </c>
      <c r="H39" s="3">
        <f t="shared" si="3"/>
        <v>0</v>
      </c>
      <c r="I39" s="3">
        <f>1+2+3+3+0+6+3+5+3+6+2+3+1+2+3+4+3+5+4</f>
        <v>59</v>
      </c>
      <c r="J39" s="3"/>
      <c r="K39" s="3"/>
      <c r="L39" s="3"/>
      <c r="M39" s="3">
        <f>0</f>
        <v>0</v>
      </c>
      <c r="N39" s="3"/>
      <c r="O39" s="3">
        <f>0+0+2+1+0+2+3+2+3+2+0+1+1+2+3+1+3+1</f>
        <v>27</v>
      </c>
    </row>
    <row r="40" spans="1:15" x14ac:dyDescent="0.2">
      <c r="A40" s="3"/>
      <c r="B40" s="3"/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</row>
    <row r="41" spans="1:15" x14ac:dyDescent="0.2">
      <c r="A41" s="3"/>
      <c r="B41" s="3"/>
      <c r="D41" s="3"/>
      <c r="E41" s="3"/>
      <c r="F41" s="3"/>
      <c r="G41" s="3"/>
      <c r="H41" s="3"/>
      <c r="I41" s="3"/>
      <c r="J41" s="3"/>
      <c r="K41" s="3"/>
      <c r="L41" s="3" t="s">
        <v>52</v>
      </c>
      <c r="M41" s="3">
        <f>1+3+2</f>
        <v>6</v>
      </c>
      <c r="N41" s="6">
        <f>1+3+1.5</f>
        <v>5.5</v>
      </c>
      <c r="O41" s="3">
        <f>1+3+2</f>
        <v>6</v>
      </c>
    </row>
    <row r="42" spans="1:15" x14ac:dyDescent="0.2">
      <c r="A42" s="3"/>
      <c r="B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A43" s="3"/>
      <c r="B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3"/>
      <c r="B44" s="3"/>
      <c r="D44" s="3"/>
      <c r="E44" s="3"/>
      <c r="F44" s="3"/>
      <c r="G44" s="3"/>
      <c r="H44" s="3"/>
      <c r="I44" s="3"/>
      <c r="J44" s="3"/>
      <c r="K44" s="3"/>
      <c r="M44" s="3"/>
      <c r="N44" s="3"/>
      <c r="O44" s="3"/>
    </row>
    <row r="45" spans="1:15" x14ac:dyDescent="0.2">
      <c r="A45" s="3" t="s">
        <v>53</v>
      </c>
      <c r="B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3"/>
      <c r="B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">
      <c r="A47" s="3"/>
      <c r="B47" s="3"/>
      <c r="D47" s="3"/>
      <c r="E47" s="3"/>
      <c r="F47" s="3"/>
      <c r="G47" s="3"/>
      <c r="H47" s="3"/>
      <c r="I47" s="3"/>
      <c r="J47" s="1"/>
      <c r="K47" s="1"/>
      <c r="L47" s="1"/>
      <c r="M47" s="3"/>
      <c r="N47" s="3"/>
      <c r="O47" s="1"/>
    </row>
    <row r="48" spans="1:15" x14ac:dyDescent="0.2">
      <c r="A48" s="3"/>
      <c r="B48" s="3"/>
      <c r="C48" s="7" t="s">
        <v>54</v>
      </c>
      <c r="D48" s="3"/>
      <c r="E48" s="8">
        <f>SUM(E3:E47)</f>
        <v>690</v>
      </c>
      <c r="F48" s="8">
        <f>SUM(F3:F47)</f>
        <v>206</v>
      </c>
      <c r="G48" s="8">
        <f>SUM(G3:G47)</f>
        <v>93</v>
      </c>
      <c r="H48" s="3"/>
      <c r="I48" s="8">
        <f>SUM(I3:I47)</f>
        <v>746</v>
      </c>
      <c r="J48" s="3">
        <f>SUM(J3:J47)</f>
        <v>460</v>
      </c>
      <c r="K48" s="3">
        <f>SUM(K3:K47)</f>
        <v>290</v>
      </c>
      <c r="L48" s="4">
        <f>K48/J48</f>
        <v>0.63043478260869568</v>
      </c>
      <c r="M48" s="8">
        <f>SUM(M3:M47)</f>
        <v>99</v>
      </c>
      <c r="N48" s="8">
        <f>SUM(N3:N47)</f>
        <v>87.5</v>
      </c>
      <c r="O48" s="3">
        <f>SUM(O3:O47)</f>
        <v>351</v>
      </c>
    </row>
    <row r="49" spans="1:15" x14ac:dyDescent="0.2">
      <c r="A49" s="3"/>
      <c r="B49" s="3"/>
      <c r="O49" s="3"/>
    </row>
    <row r="50" spans="1:15" ht="26" x14ac:dyDescent="0.2">
      <c r="A50" s="3"/>
      <c r="B50" s="3"/>
      <c r="C50" s="9"/>
      <c r="D50" s="10" t="s">
        <v>55</v>
      </c>
      <c r="E50" s="10" t="s">
        <v>56</v>
      </c>
      <c r="F50" s="10" t="s">
        <v>57</v>
      </c>
      <c r="G50" s="11" t="s">
        <v>58</v>
      </c>
      <c r="H50" s="10" t="s">
        <v>59</v>
      </c>
      <c r="O50" s="3"/>
    </row>
    <row r="51" spans="1:15" x14ac:dyDescent="0.2">
      <c r="A51" s="3"/>
      <c r="B51" s="3"/>
      <c r="C51" s="12" t="s">
        <v>51</v>
      </c>
      <c r="D51" s="13">
        <v>16</v>
      </c>
      <c r="E51" s="13">
        <f>12+6+25+22+21+23+20+19+5+13+14+12+15+23+18+21+29</f>
        <v>298</v>
      </c>
      <c r="F51" s="13">
        <f>3+6+11+10+14+9+8+12+3+9+2+5+5+13+10+10+11</f>
        <v>141</v>
      </c>
      <c r="G51" s="14">
        <f>F51/D39</f>
        <v>7.833333333333333</v>
      </c>
      <c r="H51" s="4">
        <f>F51/E51</f>
        <v>0.47315436241610737</v>
      </c>
      <c r="L51" s="15" t="s">
        <v>60</v>
      </c>
      <c r="M51" s="15" t="s">
        <v>61</v>
      </c>
      <c r="O51" s="3"/>
    </row>
    <row r="52" spans="1:15" x14ac:dyDescent="0.2">
      <c r="A52" s="3"/>
      <c r="B52" s="3"/>
      <c r="C52" t="s">
        <v>50</v>
      </c>
      <c r="D52" s="16">
        <v>3</v>
      </c>
      <c r="E52" s="16">
        <f>3+7+10+1+5+15+3+13+4</f>
        <v>61</v>
      </c>
      <c r="F52" s="16">
        <f>0+5+0+4+1+2+7+2+6+2</f>
        <v>29</v>
      </c>
      <c r="G52" s="14">
        <f>F52/D38</f>
        <v>3.2222222222222223</v>
      </c>
      <c r="H52" s="4">
        <f>F52/E52</f>
        <v>0.47540983606557374</v>
      </c>
      <c r="J52" s="7" t="s">
        <v>62</v>
      </c>
      <c r="L52" s="3">
        <f>7+5+8+8+10+7+3+3+4+2+7+15+6+5+1+4+6+3+13</f>
        <v>117</v>
      </c>
      <c r="M52" s="3">
        <f>7.5+4.5+7+6.5+9+6+2.5+2.5+4+2.5+6+12+4.5+4.5+0.5+4+5+2.5+10.5</f>
        <v>101.5</v>
      </c>
      <c r="N52" s="17"/>
      <c r="O52" s="3"/>
    </row>
    <row r="53" spans="1:15" x14ac:dyDescent="0.2">
      <c r="A53" s="3"/>
      <c r="B53" s="3"/>
      <c r="C53" s="18"/>
      <c r="D53" s="16"/>
      <c r="E53" s="16"/>
      <c r="F53" s="16"/>
      <c r="G53" s="14"/>
      <c r="O53" s="3"/>
    </row>
    <row r="54" spans="1:15" x14ac:dyDescent="0.2">
      <c r="A54" s="3"/>
      <c r="B54" s="3"/>
      <c r="C54" s="19" t="s">
        <v>63</v>
      </c>
      <c r="D54" s="10" t="s">
        <v>64</v>
      </c>
      <c r="E54" s="10" t="s">
        <v>65</v>
      </c>
      <c r="F54" s="10" t="s">
        <v>66</v>
      </c>
      <c r="G54" s="20" t="s">
        <v>67</v>
      </c>
      <c r="L54" s="21" t="s">
        <v>13</v>
      </c>
      <c r="O54" s="3"/>
    </row>
    <row r="55" spans="1:15" x14ac:dyDescent="0.2">
      <c r="A55" s="3"/>
      <c r="B55" s="3"/>
      <c r="C55" s="18"/>
      <c r="D55" s="16">
        <v>19</v>
      </c>
      <c r="E55" s="16">
        <f>9+15+9+14+14+19+19+15+17+12+17+16+10+13+12+26+10+16+15</f>
        <v>278</v>
      </c>
      <c r="F55" s="16">
        <f>2+3+4+4+3+5+7+14+7+6+2+2+6+1+6+7+2+4+4</f>
        <v>89</v>
      </c>
      <c r="G55" s="22">
        <f>E55/(F55+E55)</f>
        <v>0.75749318801089915</v>
      </c>
      <c r="J55" s="7" t="s">
        <v>68</v>
      </c>
      <c r="L55" s="6">
        <v>389.37</v>
      </c>
      <c r="O55" s="3"/>
    </row>
    <row r="56" spans="1:15" x14ac:dyDescent="0.2">
      <c r="A56" s="3"/>
      <c r="B56" s="3"/>
      <c r="C56" s="18"/>
      <c r="D56" s="16"/>
      <c r="E56" s="16"/>
      <c r="F56" s="16"/>
      <c r="G56" s="9"/>
      <c r="O56" s="3"/>
    </row>
    <row r="57" spans="1:15" x14ac:dyDescent="0.2">
      <c r="A57" s="3"/>
      <c r="B57" s="3"/>
      <c r="C57" s="19" t="s">
        <v>69</v>
      </c>
      <c r="D57" s="10" t="s">
        <v>64</v>
      </c>
      <c r="E57" s="10" t="s">
        <v>65</v>
      </c>
      <c r="F57" s="10" t="s">
        <v>66</v>
      </c>
      <c r="G57" s="20" t="s">
        <v>67</v>
      </c>
      <c r="J57" s="7" t="s">
        <v>70</v>
      </c>
      <c r="L57" s="6">
        <v>284.23</v>
      </c>
      <c r="O57" s="3"/>
    </row>
    <row r="58" spans="1:15" x14ac:dyDescent="0.2">
      <c r="A58" s="3"/>
      <c r="B58" s="3"/>
      <c r="C58" s="18"/>
      <c r="D58" s="16">
        <v>19</v>
      </c>
      <c r="E58" s="16">
        <f>9+6+13+20+14+21+9+10+25+21+13+9+11+14+16+17+14+15</f>
        <v>257</v>
      </c>
      <c r="F58" s="16">
        <f>6+9+5+7+16+4+12+12+6+6+5+12+3+5+5+10+4+6+9</f>
        <v>142</v>
      </c>
      <c r="G58" s="22">
        <f>E58/(F58+E58)</f>
        <v>0.64411027568922308</v>
      </c>
      <c r="O58" s="3"/>
    </row>
    <row r="59" spans="1:15" x14ac:dyDescent="0.2">
      <c r="A59" s="3"/>
      <c r="B59" s="3"/>
      <c r="C59" s="18"/>
      <c r="D59" s="16"/>
      <c r="E59" s="16"/>
      <c r="F59" s="16"/>
      <c r="G59" s="9"/>
      <c r="O59" s="3"/>
    </row>
    <row r="60" spans="1:15" x14ac:dyDescent="0.2">
      <c r="A60" s="3"/>
      <c r="B60" s="3"/>
      <c r="C60" s="19" t="s">
        <v>71</v>
      </c>
      <c r="D60" s="10" t="s">
        <v>64</v>
      </c>
      <c r="E60" s="10" t="s">
        <v>72</v>
      </c>
      <c r="F60" s="10" t="s">
        <v>73</v>
      </c>
      <c r="G60" s="20" t="s">
        <v>67</v>
      </c>
      <c r="J60" s="7" t="s">
        <v>74</v>
      </c>
      <c r="L60" s="3">
        <f>11+15+7+13+29+14+26+23+19+15+14+19+9+12+11+24+11+14+12</f>
        <v>298</v>
      </c>
      <c r="O60" s="3"/>
    </row>
    <row r="61" spans="1:15" x14ac:dyDescent="0.2">
      <c r="A61" s="3"/>
      <c r="B61" s="3"/>
      <c r="C61" s="18"/>
      <c r="D61" s="16">
        <v>19</v>
      </c>
      <c r="E61" s="16">
        <f>3+2+0+2+3+3+0+0+0+0+3+6+0+3+0+3+4+1+4</f>
        <v>37</v>
      </c>
      <c r="F61" s="16">
        <f>4+3+7+6+5+4+2+3+4+2+3+8+6+2+1+1+2+2+9</f>
        <v>74</v>
      </c>
      <c r="G61" s="22">
        <f>E61/(F61+E61)</f>
        <v>0.33333333333333331</v>
      </c>
      <c r="O61" s="3"/>
    </row>
    <row r="62" spans="1:15" x14ac:dyDescent="0.2">
      <c r="A62" s="3"/>
      <c r="B62" s="3"/>
      <c r="C62" s="18"/>
      <c r="D62" s="16"/>
      <c r="E62" s="16"/>
      <c r="F62" s="16"/>
      <c r="G62" s="9"/>
      <c r="J62" s="23" t="s">
        <v>75</v>
      </c>
      <c r="K62" s="3">
        <f>22+23+12+24+31+22+24+24+16+12+20+33+10+18+12+22+19+32+21</f>
        <v>397</v>
      </c>
      <c r="O62" s="3"/>
    </row>
    <row r="63" spans="1:15" x14ac:dyDescent="0.2">
      <c r="A63" s="3"/>
      <c r="B63" s="3"/>
      <c r="C63" s="19" t="s">
        <v>76</v>
      </c>
      <c r="D63" s="10" t="s">
        <v>64</v>
      </c>
      <c r="E63" s="10" t="s">
        <v>72</v>
      </c>
      <c r="F63" s="10" t="s">
        <v>73</v>
      </c>
      <c r="G63" s="20" t="s">
        <v>67</v>
      </c>
      <c r="O63" s="3"/>
    </row>
    <row r="64" spans="1:15" x14ac:dyDescent="0.2">
      <c r="A64" s="3"/>
      <c r="B64" s="3"/>
      <c r="C64" s="18"/>
      <c r="D64" s="16">
        <v>19</v>
      </c>
      <c r="E64" s="16">
        <f>1+0+2+1+1+0+1+0+0+2+4+1+2+2+0+0+1+2+2</f>
        <v>22</v>
      </c>
      <c r="F64" s="16">
        <f>3+3+2+3+7+3+8+3+1+3+6+5+4+10+1+4+6+3+3</f>
        <v>78</v>
      </c>
      <c r="G64" s="22">
        <f>E64/(F64+E64)</f>
        <v>0.22</v>
      </c>
      <c r="J64" s="23" t="s">
        <v>77</v>
      </c>
      <c r="K64" s="3">
        <f>23+13+25+23+10+19+21+23+21+24+20+16+27+12+19+23+18+21+29</f>
        <v>387</v>
      </c>
      <c r="O64" s="3"/>
    </row>
    <row r="65" spans="1:15" x14ac:dyDescent="0.2">
      <c r="A65" s="3"/>
      <c r="B65" s="3"/>
      <c r="C65" s="18"/>
      <c r="D65" s="16"/>
      <c r="E65" s="16"/>
      <c r="F65" s="16"/>
      <c r="G65" s="9"/>
      <c r="O65" s="3"/>
    </row>
    <row r="66" spans="1:15" x14ac:dyDescent="0.2">
      <c r="A66" s="3"/>
      <c r="B66" s="3"/>
      <c r="C66" s="9"/>
      <c r="D66" s="9"/>
      <c r="E66" s="9"/>
      <c r="F66" s="9"/>
      <c r="G66" s="9"/>
      <c r="O66" s="3"/>
    </row>
    <row r="67" spans="1:15" x14ac:dyDescent="0.2">
      <c r="A67" s="3"/>
      <c r="B67" s="3"/>
      <c r="C67" s="19" t="s">
        <v>78</v>
      </c>
      <c r="D67" s="10" t="s">
        <v>79</v>
      </c>
      <c r="E67" s="10"/>
      <c r="F67" s="10" t="s">
        <v>80</v>
      </c>
      <c r="G67" s="9"/>
      <c r="O67" s="3"/>
    </row>
    <row r="68" spans="1:15" x14ac:dyDescent="0.2">
      <c r="A68" s="3"/>
      <c r="B68" s="3"/>
      <c r="C68" s="19" t="s">
        <v>81</v>
      </c>
      <c r="D68" s="24">
        <f>11+17+6+10+14+10+14+13+4+3+13+17+3+11+6+16+8+17+13</f>
        <v>206</v>
      </c>
      <c r="E68" s="24"/>
      <c r="F68" s="24">
        <f>12+2+14+11+6+9+7+14+12+15+10+5+19+7+12+10+11+11+18</f>
        <v>205</v>
      </c>
      <c r="G68" s="9"/>
      <c r="O68" s="3"/>
    </row>
    <row r="69" spans="1:15" x14ac:dyDescent="0.2">
      <c r="A69" s="3"/>
      <c r="B69" s="3"/>
      <c r="C69" s="19" t="s">
        <v>82</v>
      </c>
      <c r="D69" s="25">
        <f>D68/D64</f>
        <v>10.842105263157896</v>
      </c>
      <c r="E69" s="25"/>
      <c r="F69" s="25">
        <f>F68/D64</f>
        <v>10.789473684210526</v>
      </c>
      <c r="G69" s="9"/>
      <c r="O69" s="3"/>
    </row>
    <row r="70" spans="1:15" x14ac:dyDescent="0.2">
      <c r="A70" s="3"/>
      <c r="B70" s="3"/>
      <c r="C70" s="19" t="s">
        <v>83</v>
      </c>
      <c r="D70" s="26" t="s">
        <v>84</v>
      </c>
      <c r="E70" s="26"/>
      <c r="F70" s="26" t="s">
        <v>85</v>
      </c>
      <c r="G70" s="26" t="s">
        <v>86</v>
      </c>
      <c r="O7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Wetherby</dc:creator>
  <cp:lastModifiedBy>Tom Wetherby</cp:lastModifiedBy>
  <dcterms:created xsi:type="dcterms:W3CDTF">2019-01-25T19:06:08Z</dcterms:created>
  <dcterms:modified xsi:type="dcterms:W3CDTF">2019-01-25T19:07:30Z</dcterms:modified>
</cp:coreProperties>
</file>